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file" sheetId="1" r:id="rId3"/>
    <sheet state="visible" name="CharacteristicsSkills" sheetId="2" r:id="rId4"/>
    <sheet state="visible" name="CombatEquipment" sheetId="3" r:id="rId5"/>
    <sheet state="visible" name="Vehicles" sheetId="4" r:id="rId6"/>
    <sheet state="visible" name="Spacecraft (Barebones)" sheetId="5" r:id="rId7"/>
    <sheet state="visible" name="Spacecraft (Extensive)" sheetId="6" r:id="rId8"/>
    <sheet state="hidden" name="Tables" sheetId="7" r:id="rId9"/>
    <sheet state="visible" name="BackgroundPersonality" sheetId="8" r:id="rId10"/>
    <sheet state="visible" name="Campaign Notes" sheetId="9" r:id="rId11"/>
  </sheets>
  <definedNames>
    <definedName name="StrDM">CharacteristicsSkills!$G$3</definedName>
    <definedName name="Sk_D_Wa">CharacteristicsSkills!$H$44</definedName>
    <definedName name="Str">CharacteristicsSkills!$C$3</definedName>
    <definedName name="T_ScW_T_N">Tables!$G$30:$G$38</definedName>
    <definedName name="Sk_D_Wh">CharacteristicsSkills!$H$45</definedName>
    <definedName name="T_ScW_BayL">Tables!$K$31:$N$41</definedName>
    <definedName name="Sk_M_Bludgeon">CharacteristicsSkills!$Y$35</definedName>
    <definedName name="Sk_Ath_D">CharacteristicsSkills!$H$33</definedName>
    <definedName name="Sk_Sea_Sa">CharacteristicsSkills!$Y$76</definedName>
    <definedName name="Sk_GC_A">CharacteristicsSkills!$H$70</definedName>
    <definedName name="Sk_D_H">CharacteristicsSkills!$H$41</definedName>
    <definedName name="T_ScPP_N">Tables!$B$31:$B$36</definedName>
    <definedName name="UPP">CharacteristicsSkills!$F$16</definedName>
    <definedName name="T_Softw_N">Tables!$M$4:$M$26</definedName>
    <definedName name="Sk_F_A">CharacteristicsSkills!$H$58</definedName>
    <definedName name="DexDM">CharacteristicsSkills!$G$5</definedName>
    <definedName name="Sk_Sea_P">CharacteristicsSkills!$Y$75</definedName>
    <definedName name="T_StdOfLiv_N">Tables!$E$4:$E$13</definedName>
    <definedName name="Sk_T">CharacteristicsSkills!$Y$82</definedName>
    <definedName name="T_VSk_N">Tables!$B$15:$B$28</definedName>
    <definedName name="Sk_M_U">CharacteristicsSkills!$Y$37</definedName>
    <definedName name="Sk_M_Blade">CharacteristicsSkills!$Y$34</definedName>
    <definedName name="T_StdOfLiv">Tables!$D$4:$F$13</definedName>
    <definedName name="Sk_Lead">CharacteristicsSkills!$Y$30</definedName>
    <definedName name="EndDM">CharacteristicsSkills!$G$7</definedName>
    <definedName name="T_ScSoftw_N">Tables!$O$4:$O$52</definedName>
    <definedName name="Sk_M_N">CharacteristicsSkills!$Y$36</definedName>
    <definedName name="T_ScST">Tables!$B$39:$E$43</definedName>
    <definedName name="Sk_P_Sm">CharacteristicsSkills!$Y$42</definedName>
    <definedName name="T_SkLvl_SpecAll">Tables!$I$4:$I$12</definedName>
    <definedName name="Sk_P_Sp">CharacteristicsSkills!$Y$43</definedName>
    <definedName name="T_ScW_BayL_N">Tables!$K$31:$K$41</definedName>
    <definedName name="T_VSk">Tables!$B$15:$C$28</definedName>
    <definedName name="T_SkLvl">Tables!$G$4:$G$13</definedName>
    <definedName name="Sk_HW_MP">CharacteristicsSkills!$H$75</definedName>
    <definedName name="T_ScW_S_N">Tables!$G$41:$G$45</definedName>
    <definedName name="T_ScW_Bar">Tables!$I$30:$J$38</definedName>
    <definedName name="T_VSpB">Tables!$D$16:$F$26</definedName>
    <definedName name="Sk_F_R">CharacteristicsSkills!$H$61</definedName>
    <definedName name="T_StdOfLiv_CM">Tables!$E$4:$F$13</definedName>
    <definedName name="Soc">CharacteristicsSkills!$C$13</definedName>
    <definedName name="T_ScST_N">Tables!$B$39:$B$43</definedName>
    <definedName name="T_ScComp">Tables!$K$4:$L$18</definedName>
    <definedName name="Sk_F_W">CharacteristicsSkills!$H$62</definedName>
    <definedName name="Sk_D_M">CharacteristicsSkills!$H$42</definedName>
    <definedName name="SocDM">CharacteristicsSkills!$G$13</definedName>
    <definedName name="T_AtkSk_N">Tables!$B$4:$B$12</definedName>
    <definedName name="Psi">CharacteristicsSkills!$M$3</definedName>
    <definedName name="Sk_GC_E">CharacteristicsSkills!$H$71</definedName>
    <definedName name="T_AtkSk">Tables!$B$4:$C$12</definedName>
    <definedName name="End">CharacteristicsSkills!$C$7</definedName>
    <definedName name="Dex">CharacteristicsSkills!$C$5</definedName>
    <definedName name="T_VWM">Tables!$G$15:$G$24</definedName>
    <definedName name="PsiDM">CharacteristicsSkills!$Q$3</definedName>
    <definedName name="T_ScComp_N">Tables!$K$4:$K$18</definedName>
    <definedName name="Sk_F_O">CharacteristicsSkills!$H$60</definedName>
    <definedName name="Sk_GC_S">CharacteristicsSkills!$H$72</definedName>
    <definedName name="T_ScW_Bay">Tables!$K$30:$N$41</definedName>
    <definedName name="T_SkLvl_Spec0">Tables!$H$4:$H$5</definedName>
    <definedName name="Int">CharacteristicsSkills!$C$9</definedName>
    <definedName name="Version">Tables!$P$1</definedName>
    <definedName name="T_ScW_S">Tables!$G$41:$J$45</definedName>
    <definedName name="T_SkLvl_JoAT">Tables!$H$7:$H$10</definedName>
    <definedName name="T_ScW_Bar_N">Tables!$I$30:$I$38</definedName>
    <definedName name="T_ScPP">Tables!$B$31:$C$36</definedName>
    <definedName name="Sk_F_G">CharacteristicsSkills!$H$59</definedName>
    <definedName name="Sk_Sea_Su">CharacteristicsSkills!$Y$77</definedName>
    <definedName name="T_Softw">Tables!$M$4:$N$26</definedName>
    <definedName name="T_ScHC_N">Tables!$D$30:$D$36</definedName>
    <definedName name="IntDM">CharacteristicsSkills!$G$9</definedName>
    <definedName name="EduDM">CharacteristicsSkills!$G$11</definedName>
    <definedName name="Sk_P_C">CharacteristicsSkills!$Y$41</definedName>
    <definedName name="Sk_D_T">CharacteristicsSkills!$H$43</definedName>
    <definedName name="T_ScW_Bay_N">Tables!$K$30:$K$41</definedName>
    <definedName name="T_ScW_T">Tables!$G$30:$H$38</definedName>
    <definedName name="Edu">CharacteristicsSkills!$C$11</definedName>
    <definedName name="T_ScHC">Tables!$D$30:$F$36</definedName>
    <definedName name="Unskilled">CharacteristicsSkills!$H$78</definedName>
    <definedName name="T_ScSoftw">Tables!$O$4:$P$52</definedName>
    <definedName name="T_VSpB_N">Tables!$D$16:$D$26</definedName>
    <definedName name="Sk_Sea_O">CharacteristicsSkills!$Y$74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P5">
      <text>
        <t xml:space="preserve">Travel Code
(Amber/A, Red/R)</t>
      </text>
    </comment>
    <comment authorId="0" ref="Q5">
      <text>
        <t xml:space="preserve">Gas Giants</t>
      </text>
    </comment>
    <comment authorId="0" ref="G11">
      <text>
        <t xml:space="preserve">Survival</t>
      </text>
    </comment>
    <comment authorId="0" ref="H11">
      <text>
        <t xml:space="preserve">Commission</t>
      </text>
    </comment>
    <comment authorId="0" ref="I11">
      <text>
        <t xml:space="preserve">Advancement</t>
      </text>
    </comment>
    <comment authorId="0" ref="K11">
      <text>
        <t xml:space="preserve">Allies, Contacts, Rivals, and Enemies are on the Campaign Notes page.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S6">
      <text>
        <t xml:space="preserve">Does not include Characteristic DM.</t>
      </text>
    </comment>
    <comment authorId="0" ref="S7">
      <text>
        <t xml:space="preserve">Does not include Characteristic DM.</t>
      </text>
    </comment>
    <comment authorId="0" ref="R20">
      <text>
        <t xml:space="preserve">Filled in from "Mortgages" below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A7">
      <text>
        <t xml:space="preserve">You can manually use "kg", "kgs", "ton", "tons", or "t" in this column, and the sheet will convert to tons.
Example: "35 kg" will be converted to "0.035 tons" in the cell to the right.</t>
      </text>
    </comment>
    <comment authorId="0" ref="AA42">
      <text>
        <t xml:space="preserve">You can manually use "kg", "kgs", "ton", "tons", or "t" in this column, and the sheet will convert to tons.
Example: "35 kg" will be converted to "0.035 tons" in the cell to the right.</t>
      </text>
    </comment>
    <comment authorId="0" ref="AA77">
      <text>
        <t xml:space="preserve">You can manually use "kg", "kgs", "ton", "tons", or "t" in this column, and the sheet will convert to tons.
Example: "35 kg" will be converted to "0.035 tons" in the cell to the right.</t>
      </text>
    </comment>
    <comment authorId="0" ref="AA112">
      <text>
        <t xml:space="preserve">You can manually use "kg", "kgs", "ton", "tons", or "t" in this column, and the sheet will convert to tons.
Example: "35 kg" will be converted to "0.035 tons" in the cell to the right.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A7">
      <text>
        <t xml:space="preserve">You can manually use "kg", "kgs", "ton", "tons", or "t" in this column, and the sheet will convert to tons.
Example: "35 kg" will be converted to "0.035 tons" in the cell to the right.</t>
      </text>
    </comment>
    <comment authorId="0" ref="AA53">
      <text>
        <t xml:space="preserve">You can manually use "kg", "kgs", "ton", "tons", or "t" in this column, and the sheet will convert to tons.
Example: "35 kg" will be converted to "0.035 tons" in the cell to the right.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T36">
      <text>
        <t xml:space="preserve">Bandwidth</t>
      </text>
    </comment>
    <comment authorId="0" ref="AB36">
      <text>
        <t xml:space="preserve">Bandwidth</t>
      </text>
    </comment>
    <comment authorId="0" ref="J47">
      <text>
        <t xml:space="preserve">If this is checked, Bridge Type should not be "Command".</t>
      </text>
    </comment>
    <comment authorId="0" ref="S65">
      <text>
        <t xml:space="preserve">Number of this type of weapon</t>
      </text>
    </comment>
    <comment authorId="0" ref="AL98">
      <text>
        <t xml:space="preserve">You can manually use "kg", "kgs", "ton", "tons", or "t" in this column, and the sheet will convert to tons.
Example: "35 kg" will be converted to "0.035 tons" in the cell to the right.</t>
      </text>
    </comment>
  </commentList>
</comments>
</file>

<file path=xl/sharedStrings.xml><?xml version="1.0" encoding="utf-8"?>
<sst xmlns="http://schemas.openxmlformats.org/spreadsheetml/2006/main" count="1744" uniqueCount="907">
  <si>
    <t>PORTRAIT</t>
  </si>
  <si>
    <t>BASIC PROFILE</t>
  </si>
  <si>
    <r>
      <t xml:space="preserve">this box is 384x512
</t>
    </r>
    <r>
      <rPr>
        <sz val="8.0"/>
      </rPr>
      <t>(when career terms 9-12 are hidden)</t>
    </r>
  </si>
  <si>
    <t>Name</t>
  </si>
  <si>
    <t>Race/Species</t>
  </si>
  <si>
    <t>Height</t>
  </si>
  <si>
    <t>Weight</t>
  </si>
  <si>
    <t>Age</t>
  </si>
  <si>
    <t>Gender</t>
  </si>
  <si>
    <t>Basic Appearance</t>
  </si>
  <si>
    <t>HOMEWORLD</t>
  </si>
  <si>
    <t>Sector</t>
  </si>
  <si>
    <t>Subsector</t>
  </si>
  <si>
    <t>Location</t>
  </si>
  <si>
    <t>UPP/UWP</t>
  </si>
  <si>
    <t>Bases</t>
  </si>
  <si>
    <t>Trade Codes</t>
  </si>
  <si>
    <t>Travel</t>
  </si>
  <si>
    <t>Gas G.</t>
  </si>
  <si>
    <t>Miscellaneous Notes</t>
  </si>
  <si>
    <t>LIFEPATH</t>
  </si>
  <si>
    <t>Term</t>
  </si>
  <si>
    <t>Career</t>
  </si>
  <si>
    <t>Assignment</t>
  </si>
  <si>
    <t>Surv.?</t>
  </si>
  <si>
    <t>Com.?</t>
  </si>
  <si>
    <t>Adv.?</t>
  </si>
  <si>
    <t>Rank</t>
  </si>
  <si>
    <t>Events, Connections, &amp; Notes</t>
  </si>
  <si>
    <r>
      <t>Sheet created by J. Brannen (</t>
    </r>
    <r>
      <rPr>
        <color rgb="FF990000"/>
      </rPr>
      <t>jbrannen32@gmail.com</t>
    </r>
    <r>
      <t>)</t>
    </r>
  </si>
  <si>
    <t>CHARACTERISTICS</t>
  </si>
  <si>
    <t>PSIONICS</t>
  </si>
  <si>
    <t>CONDITIONS</t>
  </si>
  <si>
    <t>STUDY PERIOD</t>
  </si>
  <si>
    <t>Total</t>
  </si>
  <si>
    <t>Base</t>
  </si>
  <si>
    <t>Misc</t>
  </si>
  <si>
    <t>Injury</t>
  </si>
  <si>
    <t>Dice Mod</t>
  </si>
  <si>
    <t>Spent</t>
  </si>
  <si>
    <t>DM</t>
  </si>
  <si>
    <t>Cumulative Total</t>
  </si>
  <si>
    <t>Effect</t>
  </si>
  <si>
    <t>Weeks Complete</t>
  </si>
  <si>
    <t>STR</t>
  </si>
  <si>
    <t>PSI</t>
  </si>
  <si>
    <t>Radiation</t>
  </si>
  <si>
    <t>Study Periods Complete</t>
  </si>
  <si>
    <t>Strength</t>
  </si>
  <si>
    <t>Psionic Strength</t>
  </si>
  <si>
    <t>Skill</t>
  </si>
  <si>
    <t>DEX</t>
  </si>
  <si>
    <t>PSIONIC SKILLS</t>
  </si>
  <si>
    <t>Disease(s)</t>
  </si>
  <si>
    <t>Notes</t>
  </si>
  <si>
    <t>Dexterity</t>
  </si>
  <si>
    <t>END</t>
  </si>
  <si>
    <t>Level</t>
  </si>
  <si>
    <t>Check (PSI)</t>
  </si>
  <si>
    <t>SKILL LEVELS</t>
  </si>
  <si>
    <t>Endurance</t>
  </si>
  <si>
    <t>Awareness</t>
  </si>
  <si>
    <t>--</t>
  </si>
  <si>
    <t>Fatigued?</t>
  </si>
  <si>
    <t>INT</t>
  </si>
  <si>
    <t>Clairvoyance</t>
  </si>
  <si>
    <t>Current</t>
  </si>
  <si>
    <t>Max</t>
  </si>
  <si>
    <t>Intellect</t>
  </si>
  <si>
    <t>Telekinesis</t>
  </si>
  <si>
    <t>Total Skill Levels</t>
  </si>
  <si>
    <t>EDU</t>
  </si>
  <si>
    <t>Telepathy</t>
  </si>
  <si>
    <t>Education</t>
  </si>
  <si>
    <t>Teleportation</t>
  </si>
  <si>
    <t>SOC</t>
  </si>
  <si>
    <t>Social Standing</t>
  </si>
  <si>
    <t>Universal Personality Profile (UPP)</t>
  </si>
  <si>
    <t>SKILLS (A-K)</t>
  </si>
  <si>
    <t>Check DM by Characteristic</t>
  </si>
  <si>
    <t>SKILLS (L-Z)</t>
  </si>
  <si>
    <t>Specialty</t>
  </si>
  <si>
    <t>Admin</t>
  </si>
  <si>
    <t>Languages</t>
  </si>
  <si>
    <t>Advocate</t>
  </si>
  <si>
    <t>Anglic</t>
  </si>
  <si>
    <t>Animals</t>
  </si>
  <si>
    <t>Vilani</t>
  </si>
  <si>
    <t>Handling</t>
  </si>
  <si>
    <t>Zdetl</t>
  </si>
  <si>
    <t>Training</t>
  </si>
  <si>
    <t>Oynprith</t>
  </si>
  <si>
    <t>Veterinary</t>
  </si>
  <si>
    <t>Art</t>
  </si>
  <si>
    <t>Performer</t>
  </si>
  <si>
    <t>Holography</t>
  </si>
  <si>
    <t>Instrument</t>
  </si>
  <si>
    <t>Visual Media</t>
  </si>
  <si>
    <t>Write</t>
  </si>
  <si>
    <t>Leadership</t>
  </si>
  <si>
    <t>Astrogation</t>
  </si>
  <si>
    <t>Mechanic</t>
  </si>
  <si>
    <t>Athletics</t>
  </si>
  <si>
    <t>Medic</t>
  </si>
  <si>
    <t>Melee</t>
  </si>
  <si>
    <t>Blade</t>
  </si>
  <si>
    <t>Bludgeon</t>
  </si>
  <si>
    <t>Broker</t>
  </si>
  <si>
    <t>Natural</t>
  </si>
  <si>
    <t>Carouse</t>
  </si>
  <si>
    <t>Unarmed</t>
  </si>
  <si>
    <t>Deception</t>
  </si>
  <si>
    <t>Navigation</t>
  </si>
  <si>
    <t>Diplomat</t>
  </si>
  <si>
    <t>Persuade</t>
  </si>
  <si>
    <t>Drive</t>
  </si>
  <si>
    <t>Pilot</t>
  </si>
  <si>
    <t>Hovercraft</t>
  </si>
  <si>
    <t>Capital Ships</t>
  </si>
  <si>
    <t>Mole</t>
  </si>
  <si>
    <t>Small Craft</t>
  </si>
  <si>
    <t>Track</t>
  </si>
  <si>
    <t>Spacecraft</t>
  </si>
  <si>
    <t>Walker</t>
  </si>
  <si>
    <t>Profession</t>
  </si>
  <si>
    <t>Wheel</t>
  </si>
  <si>
    <t>Belter</t>
  </si>
  <si>
    <t>Electronics</t>
  </si>
  <si>
    <t>Biologicals</t>
  </si>
  <si>
    <t>Comms</t>
  </si>
  <si>
    <t>Civil Engineering</t>
  </si>
  <si>
    <t>Computers</t>
  </si>
  <si>
    <t>Construction</t>
  </si>
  <si>
    <t>Remote Ops</t>
  </si>
  <si>
    <t>Hydroponics</t>
  </si>
  <si>
    <t>Sensors</t>
  </si>
  <si>
    <t>Polymers</t>
  </si>
  <si>
    <t>Engineer</t>
  </si>
  <si>
    <t>J-Drive</t>
  </si>
  <si>
    <t>Life Support</t>
  </si>
  <si>
    <t>Recon</t>
  </si>
  <si>
    <t>M-Drive</t>
  </si>
  <si>
    <t>Science</t>
  </si>
  <si>
    <t>Power</t>
  </si>
  <si>
    <t>Archaeology</t>
  </si>
  <si>
    <t>Explosives</t>
  </si>
  <si>
    <t>Astronomy</t>
  </si>
  <si>
    <t>Flyer</t>
  </si>
  <si>
    <t>Biology</t>
  </si>
  <si>
    <t>Airship</t>
  </si>
  <si>
    <t>Chemistry</t>
  </si>
  <si>
    <t>Grav</t>
  </si>
  <si>
    <t>Cosmology</t>
  </si>
  <si>
    <t>Ornithopter</t>
  </si>
  <si>
    <t>Cybernetics</t>
  </si>
  <si>
    <t>Rotor</t>
  </si>
  <si>
    <t>Economics</t>
  </si>
  <si>
    <t>Wing</t>
  </si>
  <si>
    <t>Genetics</t>
  </si>
  <si>
    <t>Gambler</t>
  </si>
  <si>
    <t>History</t>
  </si>
  <si>
    <t>Gunner</t>
  </si>
  <si>
    <t>Linguistics</t>
  </si>
  <si>
    <t>Capital</t>
  </si>
  <si>
    <t>Philosophy</t>
  </si>
  <si>
    <t>Ortillery</t>
  </si>
  <si>
    <t>Physics</t>
  </si>
  <si>
    <t>Screen</t>
  </si>
  <si>
    <t>Planetology</t>
  </si>
  <si>
    <t>Turret</t>
  </si>
  <si>
    <t>Psionicology</t>
  </si>
  <si>
    <t>Gun Combat</t>
  </si>
  <si>
    <t>Psychology</t>
  </si>
  <si>
    <t>Archaic</t>
  </si>
  <si>
    <t>Robotics</t>
  </si>
  <si>
    <t>Energy</t>
  </si>
  <si>
    <t>Sophontology</t>
  </si>
  <si>
    <t>Slug</t>
  </si>
  <si>
    <t>Xenology</t>
  </si>
  <si>
    <t>Heavy Weapons</t>
  </si>
  <si>
    <t>Seafarer</t>
  </si>
  <si>
    <t>Artillery</t>
  </si>
  <si>
    <t>Ocean Ship</t>
  </si>
  <si>
    <t>Man-Portable</t>
  </si>
  <si>
    <t>Personal</t>
  </si>
  <si>
    <t>Vehicle</t>
  </si>
  <si>
    <t>Sail</t>
  </si>
  <si>
    <t>Investigate</t>
  </si>
  <si>
    <t>Submarine</t>
  </si>
  <si>
    <t>Jack-of-All-Trades</t>
  </si>
  <si>
    <t>Unskilled Penalty</t>
  </si>
  <si>
    <t>Stealth</t>
  </si>
  <si>
    <t>CUSTOM SKILLS</t>
  </si>
  <si>
    <t>Steward</t>
  </si>
  <si>
    <t>Streetwise</t>
  </si>
  <si>
    <t>Survival</t>
  </si>
  <si>
    <t>Tactics</t>
  </si>
  <si>
    <t>Military</t>
  </si>
  <si>
    <t>Naval</t>
  </si>
  <si>
    <t>Vacc Suit</t>
  </si>
  <si>
    <t>WEAPONS</t>
  </si>
  <si>
    <t>MISC INFO</t>
  </si>
  <si>
    <t>Weapon</t>
  </si>
  <si>
    <t>Range</t>
  </si>
  <si>
    <t>Skill Used</t>
  </si>
  <si>
    <t>Attack</t>
  </si>
  <si>
    <t>Damage</t>
  </si>
  <si>
    <t>Magazine</t>
  </si>
  <si>
    <t>Traits</t>
  </si>
  <si>
    <t>UPP</t>
  </si>
  <si>
    <t>Initiative DM</t>
  </si>
  <si>
    <t>Tactics DM</t>
  </si>
  <si>
    <t>Leadership DM</t>
  </si>
  <si>
    <t>Opponent
Dodge Penalty</t>
  </si>
  <si>
    <t>ARMOUR</t>
  </si>
  <si>
    <t>ENCUMBRANCE</t>
  </si>
  <si>
    <t>Worn</t>
  </si>
  <si>
    <t>Armour Type</t>
  </si>
  <si>
    <t>Protection</t>
  </si>
  <si>
    <t>Rad</t>
  </si>
  <si>
    <t>Required Skill</t>
  </si>
  <si>
    <t>Carried</t>
  </si>
  <si>
    <t>Threshold</t>
  </si>
  <si>
    <t>Total Character Weight</t>
  </si>
  <si>
    <t>Subdermal Armour Protection</t>
  </si>
  <si>
    <t>Total Armour Value</t>
  </si>
  <si>
    <t>AUGMENTS</t>
  </si>
  <si>
    <t>FINANCES</t>
  </si>
  <si>
    <t>Augment</t>
  </si>
  <si>
    <t>Improvement/Notes</t>
  </si>
  <si>
    <t>TL</t>
  </si>
  <si>
    <t>Cost</t>
  </si>
  <si>
    <t>Cash On Hand</t>
  </si>
  <si>
    <t>Yearly Pension</t>
  </si>
  <si>
    <t>Monthly Salary</t>
  </si>
  <si>
    <t>Ship Operating Costs</t>
  </si>
  <si>
    <t>Monthly Debt Payments</t>
  </si>
  <si>
    <t>STANDARD OF LIVING</t>
  </si>
  <si>
    <t>Standard for SOC</t>
  </si>
  <si>
    <t>Chosen</t>
  </si>
  <si>
    <t>Good</t>
  </si>
  <si>
    <t>EQUIPMENT ON PERSON</t>
  </si>
  <si>
    <t>Monthly Living Cost</t>
  </si>
  <si>
    <t>SAVINGS &amp; DEBTS</t>
  </si>
  <si>
    <t>#</t>
  </si>
  <si>
    <t>Item</t>
  </si>
  <si>
    <t>Mass</t>
  </si>
  <si>
    <t>0</t>
  </si>
  <si>
    <t>MORTGAGES</t>
  </si>
  <si>
    <t>Remaining Owed</t>
  </si>
  <si>
    <t>Monthly Payment</t>
  </si>
  <si>
    <t>Monthly Payment(s)</t>
  </si>
  <si>
    <t>OTHER DEBTS</t>
  </si>
  <si>
    <t>Person/Bank/Location</t>
  </si>
  <si>
    <t>Value</t>
  </si>
  <si>
    <t>Total Debts</t>
  </si>
  <si>
    <t>SAVINGS &amp; ASSETS</t>
  </si>
  <si>
    <t>Thing/Person/Bank/Location</t>
  </si>
  <si>
    <t>Total Savings &amp; Assets</t>
  </si>
  <si>
    <t>If room for more Vehicles is needed, you can safely duplicate this worksheet.</t>
  </si>
  <si>
    <t>Vehicle Type</t>
  </si>
  <si>
    <t>Stored Cargo</t>
  </si>
  <si>
    <t>/</t>
  </si>
  <si>
    <t>MISC DAMAGE</t>
  </si>
  <si>
    <t>STORED CARGO</t>
  </si>
  <si>
    <t>Agility</t>
  </si>
  <si>
    <t>(tons)</t>
  </si>
  <si>
    <r>
      <t xml:space="preserve">Skill Check DM </t>
    </r>
    <r>
      <rPr>
        <sz val="8.0"/>
      </rPr>
      <t>(includes DEX DM &amp; Agility)</t>
    </r>
  </si>
  <si>
    <t>Front</t>
  </si>
  <si>
    <t>35 kg</t>
  </si>
  <si>
    <t>Rear</t>
  </si>
  <si>
    <t>Max Speed</t>
  </si>
  <si>
    <t>Max Range</t>
  </si>
  <si>
    <t>Sides</t>
  </si>
  <si>
    <t>Cruise Speed</t>
  </si>
  <si>
    <t>Cruise Range</t>
  </si>
  <si>
    <t>HULL</t>
  </si>
  <si>
    <t>Cargo Capacity</t>
  </si>
  <si>
    <t>Crew</t>
  </si>
  <si>
    <t>Shipping Size</t>
  </si>
  <si>
    <t>Passengers</t>
  </si>
  <si>
    <t>Hull</t>
  </si>
  <si>
    <t>EQUIPMENT</t>
  </si>
  <si>
    <t>SYSTEMS</t>
  </si>
  <si>
    <t>Autopilot (skill level)</t>
  </si>
  <si>
    <t>Communications (range)</t>
  </si>
  <si>
    <t>Navigation (Navigation DM)</t>
  </si>
  <si>
    <t>Sensors (Elect. (Sensors) DM)</t>
  </si>
  <si>
    <t>Camouflage (Recon DM)</t>
  </si>
  <si>
    <t>Stealth (Elect. (Sensors) DM)</t>
  </si>
  <si>
    <t>TRAITS</t>
  </si>
  <si>
    <t>Trait</t>
  </si>
  <si>
    <t>Description</t>
  </si>
  <si>
    <t>Mount</t>
  </si>
  <si>
    <t>Magazine Cost</t>
  </si>
  <si>
    <t>Fire Control</t>
  </si>
  <si>
    <r>
      <t xml:space="preserve">Skill Check DM </t>
    </r>
    <r>
      <rPr>
        <sz val="8.0"/>
      </rPr>
      <t>(includes DEX DM &amp; Agility)</t>
    </r>
  </si>
  <si>
    <r>
      <t xml:space="preserve">Skill Check DM </t>
    </r>
    <r>
      <rPr>
        <sz val="8.0"/>
      </rPr>
      <t>(includes DEX DM &amp; Agility)</t>
    </r>
  </si>
  <si>
    <r>
      <t xml:space="preserve">Skill Check DM </t>
    </r>
    <r>
      <rPr>
        <sz val="8.0"/>
      </rPr>
      <t>(includes DEX DM &amp; Agility)</t>
    </r>
  </si>
  <si>
    <t>If room for more Spacecraft is needed, you can safely duplicate this worksheet.</t>
  </si>
  <si>
    <t>SPACECRAFT</t>
  </si>
  <si>
    <t>Ship Type</t>
  </si>
  <si>
    <t>Ship Class</t>
  </si>
  <si>
    <t>HULL POINTS</t>
  </si>
  <si>
    <t>Armour</t>
  </si>
  <si>
    <t>Protection:</t>
  </si>
  <si>
    <t>CREW</t>
  </si>
  <si>
    <t>Thrust</t>
  </si>
  <si>
    <t>Captain</t>
  </si>
  <si>
    <t>Pilots</t>
  </si>
  <si>
    <t>Jump-</t>
  </si>
  <si>
    <t>Astrogators</t>
  </si>
  <si>
    <t>Engineers</t>
  </si>
  <si>
    <t>Power Plant</t>
  </si>
  <si>
    <t>Maintenance</t>
  </si>
  <si>
    <t>Medics</t>
  </si>
  <si>
    <t>Fuel Tanks</t>
  </si>
  <si>
    <t>Gunners</t>
  </si>
  <si>
    <t>Stewards</t>
  </si>
  <si>
    <t>Bridge</t>
  </si>
  <si>
    <t>Administrators</t>
  </si>
  <si>
    <t>Officers</t>
  </si>
  <si>
    <t>Computer</t>
  </si>
  <si>
    <t>POWER ALLOCATION</t>
  </si>
  <si>
    <t>Allocated</t>
  </si>
  <si>
    <t>Available</t>
  </si>
  <si>
    <t>Weapons</t>
  </si>
  <si>
    <t>Power Points Available</t>
  </si>
  <si>
    <t>Battery Capacity</t>
  </si>
  <si>
    <t>Required</t>
  </si>
  <si>
    <t>Systems</t>
  </si>
  <si>
    <t>Basic Ship Systems</t>
  </si>
  <si>
    <t>Staterooms</t>
  </si>
  <si>
    <t>Software</t>
  </si>
  <si>
    <t>Common Areas</t>
  </si>
  <si>
    <t>Cargo</t>
  </si>
  <si>
    <t>Maintenance Cost</t>
  </si>
  <si>
    <t>Purchase Cost</t>
  </si>
  <si>
    <t>Ammo</t>
  </si>
  <si>
    <t>Ammo Cost</t>
  </si>
  <si>
    <t>Ship Name</t>
  </si>
  <si>
    <t>HULL &amp; ARMOUR</t>
  </si>
  <si>
    <t>POWER</t>
  </si>
  <si>
    <t>Ship Type/Model</t>
  </si>
  <si>
    <t>Hull Tonnage</t>
  </si>
  <si>
    <t>Tonnage</t>
  </si>
  <si>
    <t>Modular Hull</t>
  </si>
  <si>
    <t>Streamlined?</t>
  </si>
  <si>
    <t>Emergency Power System</t>
  </si>
  <si>
    <t>Solar Panels</t>
  </si>
  <si>
    <t>Hull Configuration</t>
  </si>
  <si>
    <t>Standard</t>
  </si>
  <si>
    <t>Stored</t>
  </si>
  <si>
    <t>Capacity</t>
  </si>
  <si>
    <t>DRIVES</t>
  </si>
  <si>
    <t>Hull Density</t>
  </si>
  <si>
    <t>Normal</t>
  </si>
  <si>
    <t>Hull Coating</t>
  </si>
  <si>
    <t>High Efficiency Batteries</t>
  </si>
  <si>
    <t>Holographic Hull</t>
  </si>
  <si>
    <t>Heat Shielding</t>
  </si>
  <si>
    <t>Reaction Drive</t>
  </si>
  <si>
    <t>Emissions Absorption Grid</t>
  </si>
  <si>
    <t>Radiation Shielding</t>
  </si>
  <si>
    <t>Jump Drive</t>
  </si>
  <si>
    <t>Drive Type</t>
  </si>
  <si>
    <t>Batteries</t>
  </si>
  <si>
    <t>Excess</t>
  </si>
  <si>
    <t>Time Drive Rating</t>
  </si>
  <si>
    <t>Hull Points</t>
  </si>
  <si>
    <t>Armour Protection</t>
  </si>
  <si>
    <t>Total Power Points</t>
  </si>
  <si>
    <t>Required
Power</t>
  </si>
  <si>
    <t>High-Burn Thruster Rating</t>
  </si>
  <si>
    <t>Solar Sail</t>
  </si>
  <si>
    <t>Type</t>
  </si>
  <si>
    <t>Powered</t>
  </si>
  <si>
    <t>FUEL &amp; FUEL TANKS</t>
  </si>
  <si>
    <t>Misc Combat Damage</t>
  </si>
  <si>
    <t>Full</t>
  </si>
  <si>
    <t>Notes / Weeks of Operation</t>
  </si>
  <si>
    <t>Current Fuel</t>
  </si>
  <si>
    <t>Screens</t>
  </si>
  <si>
    <t>Tank Capacity</t>
  </si>
  <si>
    <t>ARMOURED BULKHEADS</t>
  </si>
  <si>
    <t>Training Facilities</t>
  </si>
  <si>
    <t>Time Drive</t>
  </si>
  <si>
    <t>Fuel Scoop</t>
  </si>
  <si>
    <t>Metal Hydride Storage</t>
  </si>
  <si>
    <t>Launch Tubes</t>
  </si>
  <si>
    <t>UNREP System</t>
  </si>
  <si>
    <t>Fuel Processor</t>
  </si>
  <si>
    <t>Recovery Deck</t>
  </si>
  <si>
    <t>Collapsible Fuel Tanks</t>
  </si>
  <si>
    <t>Drop Tank Mounts</t>
  </si>
  <si>
    <t>Construction Deck</t>
  </si>
  <si>
    <t>Grav Screens</t>
  </si>
  <si>
    <t>Demountable Tanks</t>
  </si>
  <si>
    <t>Drop Tanks Attached</t>
  </si>
  <si>
    <t>Loading Belt</t>
  </si>
  <si>
    <t>Biospheres</t>
  </si>
  <si>
    <t>SENSORS</t>
  </si>
  <si>
    <t>Medical Bays</t>
  </si>
  <si>
    <t>HARDENED SYSTEMS</t>
  </si>
  <si>
    <t>Low Berths</t>
  </si>
  <si>
    <t>Sensors Installed</t>
  </si>
  <si>
    <t>Basic</t>
  </si>
  <si>
    <t>Emergency Low Berths</t>
  </si>
  <si>
    <t>Included Systems</t>
  </si>
  <si>
    <t>Environmental Equipment</t>
  </si>
  <si>
    <t>Gravity Well Generator</t>
  </si>
  <si>
    <t>Base Power</t>
  </si>
  <si>
    <t>Countermeasures Suite</t>
  </si>
  <si>
    <t>Psionic Capacitor</t>
  </si>
  <si>
    <t>Total Power</t>
  </si>
  <si>
    <t>Deep Penetration Scanners (tons)</t>
  </si>
  <si>
    <t>COMPUTER &amp; SOFTWARE</t>
  </si>
  <si>
    <t>INTERNAL SYSTEMS</t>
  </si>
  <si>
    <t>Enhanced Signal Processing</t>
  </si>
  <si>
    <t>Extension Net</t>
  </si>
  <si>
    <t>Installed Computers</t>
  </si>
  <si>
    <t>Processing
Score</t>
  </si>
  <si>
    <t>/bis</t>
  </si>
  <si>
    <t>/fib</t>
  </si>
  <si>
    <r>
      <t xml:space="preserve">Many 'Internal Systems' are listed elsewhere on the page,
in their appropriate section.
</t>
    </r>
    <r>
      <rPr>
        <color rgb="FFE06666"/>
      </rPr>
      <t>t = tons</t>
    </r>
  </si>
  <si>
    <t>Improved Signal Processing</t>
  </si>
  <si>
    <t>Primary</t>
  </si>
  <si>
    <t>Computer/5</t>
  </si>
  <si>
    <t>Jump Filters [Requires Bandwidth]</t>
  </si>
  <si>
    <t>Backup</t>
  </si>
  <si>
    <t>Armouries</t>
  </si>
  <si>
    <t>Grav Screen</t>
  </si>
  <si>
    <t>Life Scanner</t>
  </si>
  <si>
    <t>Used Bandwidth</t>
  </si>
  <si>
    <t>Biosphere</t>
  </si>
  <si>
    <t>Life Scanner Analysis Suite</t>
  </si>
  <si>
    <t>Active</t>
  </si>
  <si>
    <t>BW</t>
  </si>
  <si>
    <t>Ship Software</t>
  </si>
  <si>
    <t>Briefing Rooms</t>
  </si>
  <si>
    <t>Mail Distribution Array</t>
  </si>
  <si>
    <t>Library</t>
  </si>
  <si>
    <t>Gaming Space</t>
  </si>
  <si>
    <t>Military Countermeasures Suite</t>
  </si>
  <si>
    <t>Manoeuvre/0</t>
  </si>
  <si>
    <t>Laboratories</t>
  </si>
  <si>
    <t>Docking Space</t>
  </si>
  <si>
    <t>Mineral Detection Suite</t>
  </si>
  <si>
    <t>Libraries</t>
  </si>
  <si>
    <t>Full Hangar</t>
  </si>
  <si>
    <t>Shallow Penetration Suite</t>
  </si>
  <si>
    <t>Distributed Arrays</t>
  </si>
  <si>
    <t>Stables</t>
  </si>
  <si>
    <t>Extended Arrays</t>
  </si>
  <si>
    <t>Studios</t>
  </si>
  <si>
    <t>Rapid Deployment Extended Arrays</t>
  </si>
  <si>
    <t>BRIDGE</t>
  </si>
  <si>
    <t>Normal Software</t>
  </si>
  <si>
    <t>Vaults</t>
  </si>
  <si>
    <t>Concealed Compart.</t>
  </si>
  <si>
    <t>Workshops</t>
  </si>
  <si>
    <t>Fuel Tank Compart.</t>
  </si>
  <si>
    <t>Bridge Type</t>
  </si>
  <si>
    <t>Bridge Size</t>
  </si>
  <si>
    <t>Separate Command Bridge</t>
  </si>
  <si>
    <t>Detachable</t>
  </si>
  <si>
    <t>Re-Entry Capsules (TL8)</t>
  </si>
  <si>
    <t>Holographic Controls</t>
  </si>
  <si>
    <t>Sensor Stations</t>
  </si>
  <si>
    <t>[Assault] Re-Entry Capsules (TL10)</t>
  </si>
  <si>
    <t>EXTERNAL SYSTEMS</t>
  </si>
  <si>
    <t>[High Survivability] Re-Entry Capsules (TL14)</t>
  </si>
  <si>
    <t>Re-Entry Pods</t>
  </si>
  <si>
    <t>Docking Clamps (I)</t>
  </si>
  <si>
    <t>Aerofins</t>
  </si>
  <si>
    <t>SCREENS</t>
  </si>
  <si>
    <t>Docking Clamps (II)</t>
  </si>
  <si>
    <t>Breaching Tube</t>
  </si>
  <si>
    <t>Docking Clamps (III)</t>
  </si>
  <si>
    <t>Collectors</t>
  </si>
  <si>
    <t>Meson Screens</t>
  </si>
  <si>
    <t>Energy Shields</t>
  </si>
  <si>
    <t>Docking Clamps (IV)</t>
  </si>
  <si>
    <t>Grappling Arms</t>
  </si>
  <si>
    <t>Nuclear Dampers</t>
  </si>
  <si>
    <t>Improved E. Shields</t>
  </si>
  <si>
    <t>Docking Clamps (V)</t>
  </si>
  <si>
    <t>Heavy Grappling Arms</t>
  </si>
  <si>
    <t>Deflector Screens</t>
  </si>
  <si>
    <t>Advanced E. Shields</t>
  </si>
  <si>
    <t>Forced Link. Apparatus</t>
  </si>
  <si>
    <t>Tow Cable</t>
  </si>
  <si>
    <t>Marines / Troops</t>
  </si>
  <si>
    <t>Black Globe Gen.</t>
  </si>
  <si>
    <t>Shield Buffer</t>
  </si>
  <si>
    <t>Fighter Pilots / Small Craft Crew</t>
  </si>
  <si>
    <t>Psionic Shielding</t>
  </si>
  <si>
    <t>White Globe Gen.</t>
  </si>
  <si>
    <t>Regeneration/Round</t>
  </si>
  <si>
    <t>CABIN &amp; ACCOMODATIONS</t>
  </si>
  <si>
    <t>Used</t>
  </si>
  <si>
    <t>I</t>
  </si>
  <si>
    <t>II</t>
  </si>
  <si>
    <t>III</t>
  </si>
  <si>
    <t>Weapon Slot</t>
  </si>
  <si>
    <t>Point Defence Batteries</t>
  </si>
  <si>
    <t>Power Required</t>
  </si>
  <si>
    <t>Total Airlocks</t>
  </si>
  <si>
    <t>Notes/Locations</t>
  </si>
  <si>
    <t>Mount Type</t>
  </si>
  <si>
    <t>Booby-Trapped Airlocks</t>
  </si>
  <si>
    <t>(Basic)</t>
  </si>
  <si>
    <t>(TL8)</t>
  </si>
  <si>
    <t>(TL10)</t>
  </si>
  <si>
    <t>Size</t>
  </si>
  <si>
    <t>Ammo Price</t>
  </si>
  <si>
    <t>Traits/Notes</t>
  </si>
  <si>
    <t>(TL12)</t>
  </si>
  <si>
    <t>Cabin Space</t>
  </si>
  <si>
    <t>Notable Areas</t>
  </si>
  <si>
    <t>Multi-Environment Space</t>
  </si>
  <si>
    <t>Standard Staterooms</t>
  </si>
  <si>
    <t>Accel. Benches</t>
  </si>
  <si>
    <t>High Staterooms</t>
  </si>
  <si>
    <t>Acceleration Seats</t>
  </si>
  <si>
    <t>Luxury Staterooms</t>
  </si>
  <si>
    <t>Psionic Staterooms</t>
  </si>
  <si>
    <t>Emerg. Low Berths</t>
  </si>
  <si>
    <t>Barracks</t>
  </si>
  <si>
    <t>Brigs</t>
  </si>
  <si>
    <t>DRONES</t>
  </si>
  <si>
    <t>Mining</t>
  </si>
  <si>
    <t>Repair Drones</t>
  </si>
  <si>
    <t>Probe</t>
  </si>
  <si>
    <t>Advanced Probe</t>
  </si>
  <si>
    <t>Drone Space</t>
  </si>
  <si>
    <t>CARGO EQUIPMENT &amp; OPTIONS</t>
  </si>
  <si>
    <t>Interior Cargo Space</t>
  </si>
  <si>
    <t>External Cargo Mount Space</t>
  </si>
  <si>
    <t>Total Cargo Space</t>
  </si>
  <si>
    <t>Cargo Crane</t>
  </si>
  <si>
    <t>External Cargo Mounts</t>
  </si>
  <si>
    <t>Cargo Scoop</t>
  </si>
  <si>
    <t>Cargo Net &amp; Drones</t>
  </si>
  <si>
    <t>Jump Nets (TL10)</t>
  </si>
  <si>
    <t>Jump Nets (TL8)</t>
  </si>
  <si>
    <t>Owner</t>
  </si>
  <si>
    <r>
      <t>HIDDEN TABLES [</t>
    </r>
    <r>
      <rPr>
        <color rgb="FF980000"/>
      </rPr>
      <t>DO NOT CHANGE</t>
    </r>
    <r>
      <t>] -- used for Weapons calculations</t>
    </r>
  </si>
  <si>
    <r>
      <t>TABLES</t>
    </r>
    <r>
      <rPr>
        <sz val="15.0"/>
      </rPr>
      <t xml:space="preserve"> (DO NOT CHANGE)</t>
    </r>
  </si>
  <si>
    <t>v1.1.8</t>
  </si>
  <si>
    <t>T_AtkSk: Attack Skill DMs</t>
  </si>
  <si>
    <t>T_StdOfLiv: Standard of Living Costs</t>
  </si>
  <si>
    <t>T_SkLvl: Skill Levels for Data Validation</t>
  </si>
  <si>
    <t>T_ScComp: Spacecraft Computers</t>
  </si>
  <si>
    <t>T_Softw: Software</t>
  </si>
  <si>
    <t>T_ScSoftw: Spacecraft Software</t>
  </si>
  <si>
    <t>Attack Skill</t>
  </si>
  <si>
    <t>Soc Suitable For</t>
  </si>
  <si>
    <t>Standard of Living</t>
  </si>
  <si>
    <t>Cost/Month</t>
  </si>
  <si>
    <t>Skill w/ Spec</t>
  </si>
  <si>
    <t>Skill Spec</t>
  </si>
  <si>
    <t>Processing Score</t>
  </si>
  <si>
    <t>Bandwidth</t>
  </si>
  <si>
    <t>Athletics (Dexterity)</t>
  </si>
  <si>
    <t>Very Poor</t>
  </si>
  <si>
    <t>Agent/0</t>
  </si>
  <si>
    <t>Advanced Fire Control/1</t>
  </si>
  <si>
    <t>Gun Combat (Archaic)</t>
  </si>
  <si>
    <t>Poor</t>
  </si>
  <si>
    <t>Agent/1</t>
  </si>
  <si>
    <t>Advanced Fire Control/2</t>
  </si>
  <si>
    <t>Gun Combat (Energy)</t>
  </si>
  <si>
    <t>Low</t>
  </si>
  <si>
    <t>Jack of All Trades</t>
  </si>
  <si>
    <t>Computer/10</t>
  </si>
  <si>
    <t>Agent/2</t>
  </si>
  <si>
    <t>Advanced Fire Control/3</t>
  </si>
  <si>
    <t>Gun Combat (Slug)</t>
  </si>
  <si>
    <t>Average</t>
  </si>
  <si>
    <t>Computer/15</t>
  </si>
  <si>
    <t>Agent/3</t>
  </si>
  <si>
    <t>Anti-Hijack/1</t>
  </si>
  <si>
    <t>Heavy Weapons (Man-Portable)</t>
  </si>
  <si>
    <t>Computer/20</t>
  </si>
  <si>
    <t>Database</t>
  </si>
  <si>
    <t>Anti-Hijack/2</t>
  </si>
  <si>
    <t>Melee (Blade)</t>
  </si>
  <si>
    <t>High</t>
  </si>
  <si>
    <t>Computer/25</t>
  </si>
  <si>
    <t>Expert/1</t>
  </si>
  <si>
    <t>Anti-Hijack/3</t>
  </si>
  <si>
    <t>Melee (Bludgeon)</t>
  </si>
  <si>
    <t>Very High</t>
  </si>
  <si>
    <t>Computer/30</t>
  </si>
  <si>
    <t>Expert/2</t>
  </si>
  <si>
    <t>Auto-Repair/1</t>
  </si>
  <si>
    <t>Melee (Natural)</t>
  </si>
  <si>
    <t>Rich</t>
  </si>
  <si>
    <t>Computer/35</t>
  </si>
  <si>
    <t>Expert/3</t>
  </si>
  <si>
    <t>Auto-Repair/2</t>
  </si>
  <si>
    <t>Melee (Unarmed)</t>
  </si>
  <si>
    <t>Very Rich</t>
  </si>
  <si>
    <t>Core/40</t>
  </si>
  <si>
    <t>Intellect/1</t>
  </si>
  <si>
    <t>Battle System/1</t>
  </si>
  <si>
    <t>T_VSk: Vehicle Skill DMs</t>
  </si>
  <si>
    <t>Ludicr. Rich</t>
  </si>
  <si>
    <t>Core/50</t>
  </si>
  <si>
    <t>Intellect/2</t>
  </si>
  <si>
    <t>Battle System/2</t>
  </si>
  <si>
    <t>Vehicle Skill</t>
  </si>
  <si>
    <t>T_VSpB: Vehicle Speed Bands</t>
  </si>
  <si>
    <t>T_VWM: Vehicle Weapon Mounts</t>
  </si>
  <si>
    <t>Core/60</t>
  </si>
  <si>
    <t>Intellect/3</t>
  </si>
  <si>
    <t>Battle System/3</t>
  </si>
  <si>
    <t>Drive (Hovercraft)</t>
  </si>
  <si>
    <t>Speed Band</t>
  </si>
  <si>
    <t>Speed Band Number</t>
  </si>
  <si>
    <t>Km/h</t>
  </si>
  <si>
    <t>Bay</t>
  </si>
  <si>
    <t>Core/70</t>
  </si>
  <si>
    <t>Intelligent Interface/1</t>
  </si>
  <si>
    <t>Broad Spectrum</t>
  </si>
  <si>
    <t>Drive (Mole)</t>
  </si>
  <si>
    <t>Stopped</t>
  </si>
  <si>
    <t>Fixed Mount</t>
  </si>
  <si>
    <t>Core/80</t>
  </si>
  <si>
    <t>Interface/0</t>
  </si>
  <si>
    <t>Conscious Intelligence (TL16)</t>
  </si>
  <si>
    <t>Drive (Track)</t>
  </si>
  <si>
    <t>Idle</t>
  </si>
  <si>
    <t>1-20</t>
  </si>
  <si>
    <t>Gun Port</t>
  </si>
  <si>
    <t>Core/90</t>
  </si>
  <si>
    <t>Intrusion/1</t>
  </si>
  <si>
    <t>Conscious Intelligence (TL17)</t>
  </si>
  <si>
    <t>Drive (Walker)</t>
  </si>
  <si>
    <t>Very Slow</t>
  </si>
  <si>
    <t>20-50</t>
  </si>
  <si>
    <t>Hard Point</t>
  </si>
  <si>
    <t>Core/100</t>
  </si>
  <si>
    <t>Intrusion/2</t>
  </si>
  <si>
    <t>Conscious Intelligence (TL18)</t>
  </si>
  <si>
    <t>Drive (Wheel)</t>
  </si>
  <si>
    <t>Slow</t>
  </si>
  <si>
    <t>50-100</t>
  </si>
  <si>
    <t>Large Turret</t>
  </si>
  <si>
    <t>Intrusion/3</t>
  </si>
  <si>
    <t>Electronic Warfare/1</t>
  </si>
  <si>
    <t>Flyer (Airship)</t>
  </si>
  <si>
    <t>Medium</t>
  </si>
  <si>
    <t>100-200</t>
  </si>
  <si>
    <t>Modular Mount</t>
  </si>
  <si>
    <t>Intrusion/4</t>
  </si>
  <si>
    <t>Electronic Warfare/2</t>
  </si>
  <si>
    <t>Flyer (Grav)</t>
  </si>
  <si>
    <t>200-300</t>
  </si>
  <si>
    <t>Pintle Mount</t>
  </si>
  <si>
    <t>Security/0</t>
  </si>
  <si>
    <t>Electronic Warfare/3</t>
  </si>
  <si>
    <t>Flyer (Ornithopter)</t>
  </si>
  <si>
    <t>Fast</t>
  </si>
  <si>
    <t>300-500</t>
  </si>
  <si>
    <t>Pop-Up Mount</t>
  </si>
  <si>
    <t>Security/1</t>
  </si>
  <si>
    <t>Evade/1</t>
  </si>
  <si>
    <t>Flyer (Rotor)</t>
  </si>
  <si>
    <t>Very Fast</t>
  </si>
  <si>
    <t>500-800</t>
  </si>
  <si>
    <t>Ring Mount</t>
  </si>
  <si>
    <t>Security/2</t>
  </si>
  <si>
    <t>Evade/2</t>
  </si>
  <si>
    <t>Flyer (Wing)</t>
  </si>
  <si>
    <t>Subsonic</t>
  </si>
  <si>
    <t>800-1200</t>
  </si>
  <si>
    <t>Small Turret</t>
  </si>
  <si>
    <t>Security/3</t>
  </si>
  <si>
    <t>Evade/3</t>
  </si>
  <si>
    <t>Seafarer (Ocean Ship)</t>
  </si>
  <si>
    <t>Supersonic</t>
  </si>
  <si>
    <t>1200-6000</t>
  </si>
  <si>
    <t>Translator/0</t>
  </si>
  <si>
    <t>Fire Control/1</t>
  </si>
  <si>
    <t>Seafarer (Personal)</t>
  </si>
  <si>
    <t>Hypersonic</t>
  </si>
  <si>
    <t>6000 or more</t>
  </si>
  <si>
    <t>Translator/1</t>
  </si>
  <si>
    <t>Fire Control/2</t>
  </si>
  <si>
    <t>Seafarer (Sail)</t>
  </si>
  <si>
    <t>Fire Control/3</t>
  </si>
  <si>
    <t>Seafarer (Submarine)</t>
  </si>
  <si>
    <t>T_ScHC: Spacecraft Hull Configurations</t>
  </si>
  <si>
    <t>T_ScW_T: Spacecraft Turrets</t>
  </si>
  <si>
    <t>T_ScW_Bar: Spacecraft Barbettes</t>
  </si>
  <si>
    <t>T_ScW_Bay: Spacecraft Bay Weapons</t>
  </si>
  <si>
    <t>Fire Control/4</t>
  </si>
  <si>
    <t>T_ScPP: Spacecraft Power Plants</t>
  </si>
  <si>
    <t>Hull Points (Multiplier)</t>
  </si>
  <si>
    <t>Power (Small)</t>
  </si>
  <si>
    <t>Power (Medium)</t>
  </si>
  <si>
    <t>Power (Large)</t>
  </si>
  <si>
    <t>Fire Control/5</t>
  </si>
  <si>
    <t>Power per Ton</t>
  </si>
  <si>
    <t>Partial</t>
  </si>
  <si>
    <t>Beam Laser</t>
  </si>
  <si>
    <t>Fusion Barbette</t>
  </si>
  <si>
    <t>Ion Cannon</t>
  </si>
  <si>
    <t>Fission (TL6)</t>
  </si>
  <si>
    <t>Streamlined</t>
  </si>
  <si>
    <t>Yes</t>
  </si>
  <si>
    <t>Fusion Gun</t>
  </si>
  <si>
    <t>Gravimetric Distorter</t>
  </si>
  <si>
    <t>Jump Control/1</t>
  </si>
  <si>
    <t>Chemical (TL7)</t>
  </si>
  <si>
    <t>Sphere</t>
  </si>
  <si>
    <t>Laser Drill</t>
  </si>
  <si>
    <t>Mass Driver</t>
  </si>
  <si>
    <t>Jump Control/2</t>
  </si>
  <si>
    <t>Fusion (TL8)</t>
  </si>
  <si>
    <t>Close Structure</t>
  </si>
  <si>
    <t>Missile Rack</t>
  </si>
  <si>
    <t>Missile Barbette</t>
  </si>
  <si>
    <t>Meson Gun</t>
  </si>
  <si>
    <t>Jump Control/3</t>
  </si>
  <si>
    <t>Fusion (TL12)</t>
  </si>
  <si>
    <t>Dispersed Structure</t>
  </si>
  <si>
    <t>No</t>
  </si>
  <si>
    <t>Particle Beam</t>
  </si>
  <si>
    <t>Particle Barbette</t>
  </si>
  <si>
    <t>Missile</t>
  </si>
  <si>
    <t>Jump Control/4</t>
  </si>
  <si>
    <t>Fusion (TL15)</t>
  </si>
  <si>
    <t>Planetoid</t>
  </si>
  <si>
    <t>Plasma Gun</t>
  </si>
  <si>
    <t>Plasma Barbette</t>
  </si>
  <si>
    <t>Neutron Laser</t>
  </si>
  <si>
    <t>Jump Control/5</t>
  </si>
  <si>
    <t>Antimatter (TL20)</t>
  </si>
  <si>
    <t>Buffered Planetoid</t>
  </si>
  <si>
    <t>Plasma-Pulse Cannon</t>
  </si>
  <si>
    <t>Jump Control/6</t>
  </si>
  <si>
    <t>T_ScST: Spacecraft Sensor Types</t>
  </si>
  <si>
    <t>Pulse Laser</t>
  </si>
  <si>
    <t>Tachyon Cannon</t>
  </si>
  <si>
    <t>Jump Filters</t>
  </si>
  <si>
    <t>Suite</t>
  </si>
  <si>
    <t>Sandcaster</t>
  </si>
  <si>
    <t>Torpedo</t>
  </si>
  <si>
    <t>Railgun</t>
  </si>
  <si>
    <t>Launch Solution/1</t>
  </si>
  <si>
    <t>Lidar, Radar</t>
  </si>
  <si>
    <t>T_ScW_S: Spacecraft Spinal Weapons</t>
  </si>
  <si>
    <t>Launch Solution/2</t>
  </si>
  <si>
    <t>Civilian Grade</t>
  </si>
  <si>
    <t>Size Interval</t>
  </si>
  <si>
    <t>Launch Solution/3</t>
  </si>
  <si>
    <t>Military Grade</t>
  </si>
  <si>
    <t>Jammers, Lidar, Radar</t>
  </si>
  <si>
    <t>Antimatter</t>
  </si>
  <si>
    <t>Tractor Beam</t>
  </si>
  <si>
    <t>Improved</t>
  </si>
  <si>
    <t>Densitometer, Jammers, Lidar, Radar</t>
  </si>
  <si>
    <t>Meson</t>
  </si>
  <si>
    <t>Advanced</t>
  </si>
  <si>
    <t>Densitometer, Jammers, Lidar,
Neural Activity Sensor, Radar</t>
  </si>
  <si>
    <t>Particle</t>
  </si>
  <si>
    <t>Point Defence/1</t>
  </si>
  <si>
    <t>Point Defence/2</t>
  </si>
  <si>
    <t>Super Laser</t>
  </si>
  <si>
    <t>Screen Optimiser</t>
  </si>
  <si>
    <t>Virtual Crew/0</t>
  </si>
  <si>
    <t>Virtual Crew/1</t>
  </si>
  <si>
    <t>Virtual Crew/2</t>
  </si>
  <si>
    <t>Virtual Gunner/0</t>
  </si>
  <si>
    <t>Virtual Gunner/1</t>
  </si>
  <si>
    <t>Virtual Gunner/2</t>
  </si>
  <si>
    <t>Virtual Mining</t>
  </si>
  <si>
    <t>PERSONALITY</t>
  </si>
  <si>
    <t>APPEARANCE</t>
  </si>
  <si>
    <t>BACKGROUND</t>
  </si>
  <si>
    <t>DESCRIPTOR OPPOSITES</t>
  </si>
  <si>
    <t>Basic Desc.</t>
  </si>
  <si>
    <t>From Profile</t>
  </si>
  <si>
    <t>Species</t>
  </si>
  <si>
    <t>Homeworld</t>
  </si>
  <si>
    <t>Diplomatic</t>
  </si>
  <si>
    <t>Violent</t>
  </si>
  <si>
    <t>Visual Age</t>
  </si>
  <si>
    <t>Body Build</t>
  </si>
  <si>
    <t>CHILDHOOD &amp; ADOLESCENCE</t>
  </si>
  <si>
    <t>Passive</t>
  </si>
  <si>
    <t>Instigating</t>
  </si>
  <si>
    <t>Attractiveness</t>
  </si>
  <si>
    <t>Posture</t>
  </si>
  <si>
    <t>Cautious</t>
  </si>
  <si>
    <t>Reckless</t>
  </si>
  <si>
    <t>Prominent &amp;
Distinguishing
Marks/Features</t>
  </si>
  <si>
    <t>Birthday</t>
  </si>
  <si>
    <t>Selfless</t>
  </si>
  <si>
    <t>Selfish</t>
  </si>
  <si>
    <t>Most Important
Childhood Memory</t>
  </si>
  <si>
    <t>Trusting</t>
  </si>
  <si>
    <t>Suspicious</t>
  </si>
  <si>
    <t>Logical</t>
  </si>
  <si>
    <t>Emotional</t>
  </si>
  <si>
    <t>FACIAL FEATURES</t>
  </si>
  <si>
    <t>Optimistic</t>
  </si>
  <si>
    <t>Pessimistic</t>
  </si>
  <si>
    <t>Childhood Hero</t>
  </si>
  <si>
    <t>Extroverted</t>
  </si>
  <si>
    <t>Introverted</t>
  </si>
  <si>
    <t>Eye Colour</t>
  </si>
  <si>
    <t>Hair Colour</t>
  </si>
  <si>
    <t>Childhood Enemies</t>
  </si>
  <si>
    <t>Neat</t>
  </si>
  <si>
    <t>Messy</t>
  </si>
  <si>
    <t>Shape of Face</t>
  </si>
  <si>
    <t>Hair Style</t>
  </si>
  <si>
    <t>Confident</t>
  </si>
  <si>
    <t>Shy</t>
  </si>
  <si>
    <t>Skin Tone</t>
  </si>
  <si>
    <t>Facial Hair</t>
  </si>
  <si>
    <t>Personality-
Shaping Events</t>
  </si>
  <si>
    <t>Prefers Working</t>
  </si>
  <si>
    <t>Prefers Relaxing</t>
  </si>
  <si>
    <t>CLOTHING</t>
  </si>
  <si>
    <t>GOALS, TRAITS, &amp; HABITS</t>
  </si>
  <si>
    <t>Everyday Clothes</t>
  </si>
  <si>
    <t>Short-Term
Goals &amp; Ambitions</t>
  </si>
  <si>
    <t>Ever Arrested?</t>
  </si>
  <si>
    <t>Combat-Ready
Gear</t>
  </si>
  <si>
    <t>Served in
the Military?</t>
  </si>
  <si>
    <t>Long-Term
Goals &amp; Ambitions</t>
  </si>
  <si>
    <t>Prominent
Education?</t>
  </si>
  <si>
    <t>Jewelry &amp;
Accessories</t>
  </si>
  <si>
    <t>Good
Personality
Traits</t>
  </si>
  <si>
    <t>TRAINING &amp; LEARNING SKILLS</t>
  </si>
  <si>
    <t>GENERAL DESCRIPTION</t>
  </si>
  <si>
    <t>Teacher(s)</t>
  </si>
  <si>
    <t>Bad
Personality
Traits</t>
  </si>
  <si>
    <t>Which Skills</t>
  </si>
  <si>
    <t>Greatest Strength</t>
  </si>
  <si>
    <t>Where</t>
  </si>
  <si>
    <t>Greatest Weakness</t>
  </si>
  <si>
    <t>RELATIONSHIPS</t>
  </si>
  <si>
    <t>Mannerisms &amp;
Peculiarities</t>
  </si>
  <si>
    <t>When</t>
  </si>
  <si>
    <t>Conversation &amp;
Speech Quirks</t>
  </si>
  <si>
    <t>Allies/Contacts/Rivals/Enemies are on the Campaign Notes page</t>
  </si>
  <si>
    <t>Why</t>
  </si>
  <si>
    <t>Mother</t>
  </si>
  <si>
    <t>Alive</t>
  </si>
  <si>
    <t>EMOTIONS &amp; EXPERIENCES</t>
  </si>
  <si>
    <t>Relationship</t>
  </si>
  <si>
    <t>How</t>
  </si>
  <si>
    <t>Typical Mood</t>
  </si>
  <si>
    <t>ROLE IN SOCIETY</t>
  </si>
  <si>
    <t>Sense of Humour</t>
  </si>
  <si>
    <t>Father</t>
  </si>
  <si>
    <t>Greatest Joys</t>
  </si>
  <si>
    <t>Upbringing's Effect
on World View</t>
  </si>
  <si>
    <t>Social Class
Growing Up</t>
  </si>
  <si>
    <t>Greatest Fears</t>
  </si>
  <si>
    <t>Sibling</t>
  </si>
  <si>
    <t>Current Social Class</t>
  </si>
  <si>
    <t>BACKGROUND NOTES/STORY</t>
  </si>
  <si>
    <t>Mose at Ease</t>
  </si>
  <si>
    <t>Least at Ease</t>
  </si>
  <si>
    <t>Soft Spots</t>
  </si>
  <si>
    <t>Enraged When</t>
  </si>
  <si>
    <t>Depressed When</t>
  </si>
  <si>
    <t>Biggest
Accomplishment</t>
  </si>
  <si>
    <t>NON-FAMILY</t>
  </si>
  <si>
    <t>Biggest Regret</t>
  </si>
  <si>
    <t>Mentor</t>
  </si>
  <si>
    <t>Darkest Secrets</t>
  </si>
  <si>
    <t>The Lie You Believe</t>
  </si>
  <si>
    <t>FAVOURITES &amp; HOBBIES</t>
  </si>
  <si>
    <t>Closest Friend</t>
  </si>
  <si>
    <t>Favourite Colours</t>
  </si>
  <si>
    <t>Favourite Foods</t>
  </si>
  <si>
    <t>Favourite Music</t>
  </si>
  <si>
    <t>Love Interest</t>
  </si>
  <si>
    <t>Favourite Joke</t>
  </si>
  <si>
    <t>Spending Habits</t>
  </si>
  <si>
    <t>Most Prized Possessions</t>
  </si>
  <si>
    <t>Most-Admired</t>
  </si>
  <si>
    <t>Hobbies</t>
  </si>
  <si>
    <t>PARTY CURRENT INFO</t>
  </si>
  <si>
    <t>VARIOUS NOTES</t>
  </si>
  <si>
    <t>Member</t>
  </si>
  <si>
    <t>Player</t>
  </si>
  <si>
    <t>Gender &amp; Species</t>
  </si>
  <si>
    <t>Description/Notes</t>
  </si>
  <si>
    <t>Link</t>
  </si>
  <si>
    <t>Date</t>
  </si>
  <si>
    <t>This section is for any sort of campaign notes that isn't an NPC or Organisation/Location.</t>
  </si>
  <si>
    <t>Job(s)</t>
  </si>
  <si>
    <t>Patron</t>
  </si>
  <si>
    <t>Reward</t>
  </si>
  <si>
    <t>ALLIES, CONTACTS, RIVALS, &amp; ENEMIES</t>
  </si>
  <si>
    <t>ORGANISATIONS</t>
  </si>
  <si>
    <t>OTHER NPCs</t>
  </si>
  <si>
    <t>LOCATIONS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</si>
</sst>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@ kg"/>
    <numFmt numFmtId="165" formatCode="#,##0 &quot;rads&quot;"/>
    <numFmt numFmtId="166" formatCode="&quot;Cr&quot;#,##0"/>
    <numFmt numFmtId="167" formatCode="&quot;Cr&quot;#,##0&quot;/yr&quot;"/>
    <numFmt numFmtId="168" formatCode="&quot;Cr&quot;#,##0&quot;/mo&quot;"/>
    <numFmt numFmtId="169" formatCode="@ &quot;tons&quot;"/>
    <numFmt numFmtId="170" formatCode="#,##0 &quot;tons&quot;"/>
    <numFmt numFmtId="171" formatCode="@ t"/>
    <numFmt numFmtId="172" formatCode="#,##0.0 &quot;tons&quot;"/>
  </numFmts>
  <fonts count="22">
    <font>
      <sz val="10.0"/>
      <color rgb="FF000000"/>
      <name val="Arial"/>
    </font>
    <font>
      <sz val="10.0"/>
      <name val="Montserrat"/>
    </font>
    <font>
      <b/>
      <sz val="20.0"/>
      <name val="Montserrat"/>
    </font>
    <font/>
    <font>
      <sz val="10.0"/>
      <color rgb="FF999999"/>
      <name val="Montserrat"/>
    </font>
    <font>
      <b/>
      <sz val="7.0"/>
      <name val="Montserrat"/>
    </font>
    <font>
      <sz val="8.0"/>
      <name val="Montserrat"/>
    </font>
    <font>
      <u/>
      <sz val="8.0"/>
      <color rgb="FF0000FF"/>
      <name val="Montserrat"/>
    </font>
    <font>
      <b/>
      <sz val="10.0"/>
      <name val="Montserrat"/>
    </font>
    <font>
      <b/>
      <sz val="12.0"/>
      <name val="Montserrat"/>
    </font>
    <font>
      <sz val="10.0"/>
      <color rgb="FF980000"/>
      <name val="Montserrat"/>
    </font>
    <font>
      <b/>
      <sz val="8.0"/>
      <name val="Montserrat"/>
    </font>
    <font>
      <b/>
      <sz val="16.0"/>
      <name val="Montserrat"/>
    </font>
    <font>
      <sz val="10.0"/>
      <color rgb="FF38761D"/>
      <name val="Montserrat"/>
    </font>
    <font>
      <sz val="10.0"/>
      <color rgb="FF990000"/>
      <name val="Montserrat"/>
    </font>
    <font>
      <sz val="10.0"/>
      <color rgb="FF674EA7"/>
      <name val="Montserrat"/>
    </font>
    <font>
      <sz val="9.0"/>
      <name val="Montserrat"/>
    </font>
    <font>
      <b/>
      <sz val="9.0"/>
      <name val="Montserrat"/>
    </font>
    <font>
      <b/>
      <sz val="6.0"/>
      <name val="Montserrat"/>
    </font>
    <font>
      <b/>
      <sz val="20.0"/>
      <color rgb="FFFFFFFF"/>
      <name val="Montserrat"/>
    </font>
    <font>
      <b/>
      <sz val="10.0"/>
      <color rgb="FFFFFFFF"/>
      <name val="Montserrat"/>
    </font>
    <font>
      <name val="Montserrat"/>
    </font>
  </fonts>
  <fills count="7">
    <fill>
      <patternFill patternType="none"/>
    </fill>
    <fill>
      <patternFill patternType="lightGray"/>
    </fill>
    <fill>
      <patternFill patternType="solid">
        <fgColor rgb="FFE6E6E6"/>
        <bgColor rgb="FFE6E6E6"/>
      </patternFill>
    </fill>
    <fill>
      <patternFill patternType="solid">
        <fgColor rgb="FFC9DAF8"/>
        <bgColor rgb="FFC9DAF8"/>
      </patternFill>
    </fill>
    <fill>
      <patternFill patternType="solid">
        <fgColor rgb="FF000000"/>
        <bgColor rgb="FF000000"/>
      </patternFill>
    </fill>
    <fill>
      <patternFill patternType="solid">
        <fgColor rgb="FF999999"/>
        <bgColor rgb="FF999999"/>
      </patternFill>
    </fill>
    <fill>
      <patternFill patternType="solid">
        <fgColor rgb="FFCCCCCC"/>
        <bgColor rgb="FFCCCCCC"/>
      </patternFill>
    </fill>
  </fills>
  <borders count="133">
    <border/>
    <border>
      <bottom style="thin">
        <color rgb="FFCCCCCC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CCCCCC"/>
      </right>
      <top style="thin">
        <color rgb="FF000000"/>
      </top>
      <bottom style="thin">
        <color rgb="FF000000"/>
      </bottom>
    </border>
    <border>
      <left style="thin">
        <color rgb="FFCCCCCC"/>
      </left>
      <top style="thin">
        <color rgb="FF000000"/>
      </top>
      <bottom style="thin">
        <color rgb="FF000000"/>
      </bottom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000000"/>
      </bottom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CCCCCC"/>
      </bottom>
    </border>
    <border>
      <top style="thin">
        <color rgb="FF000000"/>
      </top>
      <bottom style="thin">
        <color rgb="FFCCCCCC"/>
      </bottom>
    </border>
    <border>
      <right style="thin">
        <color rgb="FFCCCCCC"/>
      </right>
      <top style="thin">
        <color rgb="FF000000"/>
      </top>
      <bottom style="thin">
        <color rgb="FFCCCCCC"/>
      </bottom>
    </border>
    <border>
      <left style="thin">
        <color rgb="FFCCCCCC"/>
      </left>
      <top style="thin">
        <color rgb="FF000000"/>
      </top>
      <bottom style="thin">
        <color rgb="FFCCCCCC"/>
      </bottom>
    </border>
    <border>
      <right style="thin">
        <color rgb="FF000000"/>
      </right>
      <top style="thin">
        <color rgb="FF000000"/>
      </top>
      <bottom style="thin">
        <color rgb="FFCCCCCC"/>
      </bottom>
    </border>
    <border>
      <left style="thin">
        <color rgb="FF000000"/>
      </left>
      <top style="thin">
        <color rgb="FFCCCCCC"/>
      </top>
      <bottom style="thin">
        <color rgb="FF000000"/>
      </bottom>
    </border>
    <border>
      <top style="thin">
        <color rgb="FFCCCCCC"/>
      </top>
      <bottom style="thin">
        <color rgb="FF000000"/>
      </bottom>
    </border>
    <border>
      <right style="thin">
        <color rgb="FFCCCCCC"/>
      </right>
      <top style="thin">
        <color rgb="FFCCCCCC"/>
      </top>
      <bottom style="thin">
        <color rgb="FF000000"/>
      </bottom>
    </border>
    <border>
      <left style="thin">
        <color rgb="FFCCCCCC"/>
      </left>
      <top style="thin">
        <color rgb="FFCCCCCC"/>
      </top>
      <bottom style="thin">
        <color rgb="FF000000"/>
      </bottom>
    </border>
    <border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right style="thin">
        <color rgb="FFCCCCCC"/>
      </right>
      <top style="thin">
        <color rgb="FF000000"/>
      </top>
      <bottom style="thin">
        <color rgb="FF999999"/>
      </bottom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999999"/>
      </bottom>
    </border>
    <border>
      <left style="thin">
        <color rgb="FFCCCCCC"/>
      </left>
      <top style="thin">
        <color rgb="FF000000"/>
      </top>
      <bottom style="thin">
        <color rgb="FF999999"/>
      </bottom>
    </border>
    <border>
      <top style="thin">
        <color rgb="FF000000"/>
      </top>
      <bottom style="thin">
        <color rgb="FF999999"/>
      </bottom>
    </border>
    <border>
      <right style="thin">
        <color rgb="FF000000"/>
      </right>
      <top style="thin">
        <color rgb="FF000000"/>
      </top>
      <bottom style="thin">
        <color rgb="FF999999"/>
      </bottom>
    </border>
    <border>
      <left style="thin">
        <color rgb="FF000000"/>
      </left>
      <right style="thin">
        <color rgb="FFCCCCCC"/>
      </right>
      <top style="thin">
        <color rgb="FF999999"/>
      </top>
      <bottom style="thin">
        <color rgb="FF999999"/>
      </bottom>
    </border>
    <border>
      <left style="thin">
        <color rgb="FFCCCCCC"/>
      </left>
      <right style="thin">
        <color rgb="FFCCCCCC"/>
      </right>
      <top style="thin">
        <color rgb="FF999999"/>
      </top>
      <bottom style="thin">
        <color rgb="FF999999"/>
      </bottom>
    </border>
    <border>
      <left style="thin">
        <color rgb="FFCCCCCC"/>
      </left>
      <top style="thin">
        <color rgb="FF999999"/>
      </top>
      <bottom style="thin">
        <color rgb="FF999999"/>
      </bottom>
    </border>
    <border>
      <top style="thin">
        <color rgb="FF999999"/>
      </top>
      <bottom style="thin">
        <color rgb="FF999999"/>
      </bottom>
    </border>
    <border>
      <right style="thin">
        <color rgb="FF000000"/>
      </right>
      <top style="thin">
        <color rgb="FF999999"/>
      </top>
      <bottom style="thin">
        <color rgb="FF999999"/>
      </bottom>
    </border>
    <border>
      <left style="thin">
        <color rgb="FF000000"/>
      </left>
      <right style="thin">
        <color rgb="FFCCCCCC"/>
      </right>
      <top style="thin">
        <color rgb="FF999999"/>
      </top>
      <bottom style="thin">
        <color rgb="FF000000"/>
      </bottom>
    </border>
    <border>
      <left style="thin">
        <color rgb="FFCCCCCC"/>
      </left>
      <right style="thin">
        <color rgb="FFCCCCCC"/>
      </right>
      <top style="thin">
        <color rgb="FF999999"/>
      </top>
      <bottom style="thin">
        <color rgb="FF000000"/>
      </bottom>
    </border>
    <border>
      <left style="thin">
        <color rgb="FFCCCCCC"/>
      </left>
      <top style="thin">
        <color rgb="FF999999"/>
      </top>
      <bottom style="thin">
        <color rgb="FF000000"/>
      </bottom>
    </border>
    <border>
      <top style="thin">
        <color rgb="FF999999"/>
      </top>
      <bottom style="thin">
        <color rgb="FF000000"/>
      </bottom>
    </border>
    <border>
      <right style="thin">
        <color rgb="FF000000"/>
      </right>
      <top style="thin">
        <color rgb="FF999999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999999"/>
      </left>
      <top style="thin">
        <color rgb="FF999999"/>
      </top>
    </border>
    <border>
      <left style="double">
        <color rgb="FF000000"/>
      </left>
      <right style="double">
        <color rgb="FF000000"/>
      </right>
      <top style="double">
        <color rgb="FF000000"/>
      </top>
    </border>
    <border>
      <right style="thin">
        <color rgb="FFCCCCCC"/>
      </right>
      <top style="thin">
        <color rgb="FF000000"/>
      </top>
    </border>
    <border>
      <left style="thin">
        <color rgb="FFCCCCCC"/>
      </left>
      <right style="thin">
        <color rgb="FF999999"/>
      </right>
      <top style="thin">
        <color rgb="FF000000"/>
      </top>
    </border>
    <border>
      <left style="thin">
        <color rgb="FF999999"/>
      </left>
      <top style="thin">
        <color rgb="FF000000"/>
      </top>
    </border>
    <border>
      <top style="thin">
        <color rgb="FF999999"/>
      </top>
    </border>
    <border>
      <left style="thin">
        <color rgb="FF999999"/>
      </left>
      <bottom style="thin">
        <color rgb="FF999999"/>
      </bottom>
    </border>
    <border>
      <left style="double">
        <color rgb="FF000000"/>
      </left>
      <right style="double">
        <color rgb="FF000000"/>
      </right>
      <bottom style="double">
        <color rgb="FF000000"/>
      </bottom>
    </border>
    <border>
      <right style="thin">
        <color rgb="FFCCCCCC"/>
      </right>
      <bottom style="thin">
        <color rgb="FF000000"/>
      </bottom>
    </border>
    <border>
      <left style="thin">
        <color rgb="FFCCCCCC"/>
      </left>
      <right style="thin">
        <color rgb="FF999999"/>
      </right>
      <bottom style="thin">
        <color rgb="FF000000"/>
      </bottom>
    </border>
    <border>
      <left style="thin">
        <color rgb="FF999999"/>
      </left>
      <bottom style="thin">
        <color rgb="FF000000"/>
      </bottom>
    </border>
    <border>
      <bottom style="thin">
        <color rgb="FF999999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999999"/>
      </bottom>
    </border>
    <border>
      <top style="thin">
        <color rgb="FFCCCCCC"/>
      </top>
    </border>
    <border>
      <left style="thin">
        <color rgb="FFCCCCCC"/>
      </left>
      <right style="thin">
        <color rgb="FF000000"/>
      </right>
      <top style="thin">
        <color rgb="FF999999"/>
      </top>
      <bottom style="thin">
        <color rgb="FF999999"/>
      </bottom>
    </border>
    <border>
      <left style="thin">
        <color rgb="FFCCCCCC"/>
      </left>
      <right style="thin">
        <color rgb="FF000000"/>
      </right>
      <top style="thin">
        <color rgb="FF999999"/>
      </top>
      <bottom style="thin">
        <color rgb="FF000000"/>
      </bottom>
    </border>
    <border>
      <right style="thin">
        <color rgb="FFCCCCCC"/>
      </right>
    </border>
    <border>
      <left style="thin">
        <color rgb="FFCCCCCC"/>
      </left>
    </border>
    <border>
      <right style="thin">
        <color rgb="FFCCCCCC"/>
      </right>
      <top style="thin">
        <color rgb="FF999999"/>
      </top>
      <bottom style="thin">
        <color rgb="FF999999"/>
      </bottom>
    </border>
    <border>
      <left style="thin">
        <color rgb="FF000000"/>
      </left>
      <right style="thin">
        <color rgb="FF999999"/>
      </right>
      <top style="thin">
        <color rgb="FF000000"/>
      </top>
      <bottom style="thin">
        <color rgb="FF000000"/>
      </bottom>
    </border>
    <border>
      <left style="thin">
        <color rgb="FF999999"/>
      </left>
      <right style="thin">
        <color rgb="FF999999"/>
      </right>
      <top style="thin">
        <color rgb="FF000000"/>
      </top>
      <bottom style="thin">
        <color rgb="FF000000"/>
      </bottom>
    </border>
    <border>
      <left style="thin">
        <color rgb="FF999999"/>
      </left>
      <top style="thin">
        <color rgb="FF000000"/>
      </top>
      <bottom style="thin">
        <color rgb="FF000000"/>
      </bottom>
    </border>
    <border>
      <left style="thin">
        <color rgb="FF999999"/>
      </left>
      <right style="thin">
        <color rgb="FF999999"/>
      </right>
      <top style="thin">
        <color rgb="FF000000"/>
      </top>
    </border>
    <border>
      <left style="thin">
        <color rgb="FF999999"/>
      </left>
      <right style="thin">
        <color rgb="FF999999"/>
      </right>
      <bottom style="thin">
        <color rgb="FF000000"/>
      </bottom>
    </border>
    <border>
      <left style="thin">
        <color rgb="FF999999"/>
      </left>
      <right style="thin">
        <color rgb="FF000000"/>
      </right>
      <bottom style="thin">
        <color rgb="FF000000"/>
      </bottom>
    </border>
    <border>
      <left style="thin">
        <color rgb="FF999999"/>
      </left>
      <right style="thin">
        <color rgb="FFCCCCCC"/>
      </right>
      <top style="thin">
        <color rgb="FF999999"/>
      </top>
      <bottom style="thin">
        <color rgb="FF999999"/>
      </bottom>
    </border>
    <border>
      <right style="thin">
        <color rgb="FF999999"/>
      </right>
      <top style="thin">
        <color rgb="FF000000"/>
      </top>
      <bottom style="thin">
        <color rgb="FF000000"/>
      </bottom>
    </border>
    <border>
      <left style="thin">
        <color rgb="FF999999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999999"/>
      </right>
      <top style="thin">
        <color rgb="FF000000"/>
      </top>
    </border>
    <border>
      <left style="thin">
        <color rgb="FF999999"/>
      </left>
      <right style="thin">
        <color rgb="FF999999"/>
      </right>
    </border>
    <border>
      <right style="thin">
        <color rgb="FF999999"/>
      </right>
    </border>
    <border>
      <left style="thin">
        <color rgb="FF000000"/>
      </left>
      <top style="thin">
        <color rgb="FF000000"/>
      </top>
      <bottom style="thin">
        <color rgb="FF999999"/>
      </bottom>
    </border>
    <border>
      <right style="thin">
        <color rgb="FFCCCCCC"/>
      </right>
      <top style="thin">
        <color rgb="FF000000"/>
      </top>
      <bottom style="thin">
        <color rgb="FF999999"/>
      </bottom>
    </border>
    <border>
      <left style="thin">
        <color rgb="FF000000"/>
      </left>
      <top style="thin">
        <color rgb="FF999999"/>
      </top>
      <bottom style="thin">
        <color rgb="FF999999"/>
      </bottom>
    </border>
    <border>
      <left style="thin">
        <color rgb="FF000000"/>
      </left>
      <top style="thin">
        <color rgb="FF999999"/>
      </top>
      <bottom style="thin">
        <color rgb="FF000000"/>
      </bottom>
    </border>
    <border>
      <right style="thin">
        <color rgb="FFCCCCCC"/>
      </right>
      <top style="thin">
        <color rgb="FF999999"/>
      </top>
      <bottom style="thin">
        <color rgb="FF000000"/>
      </bottom>
    </border>
    <border>
      <left style="thin">
        <color rgb="FF000000"/>
      </left>
      <right style="thin">
        <color rgb="FF999999"/>
      </right>
      <top style="thin">
        <color rgb="FF000000"/>
      </top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top style="double">
        <color rgb="FF000000"/>
      </top>
      <bottom style="double">
        <color rgb="FF000000"/>
      </bottom>
    </border>
    <border>
      <top style="double">
        <color rgb="FF000000"/>
      </top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right style="thin">
        <color rgb="FF000000"/>
      </right>
      <top style="thin">
        <color rgb="FFCCCCCC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CCCCCC"/>
      </left>
      <top style="thin">
        <color rgb="FF999999"/>
      </top>
    </border>
    <border>
      <right style="thin">
        <color rgb="FF000000"/>
      </right>
      <top style="thin">
        <color rgb="FF999999"/>
      </top>
    </border>
    <border>
      <left style="thin">
        <color rgb="FF000000"/>
      </left>
      <right style="thin">
        <color rgb="FFCCCCCC"/>
      </right>
      <top style="thin">
        <color rgb="FF000000"/>
      </top>
      <bottom style="thin">
        <color rgb="FFCCCCCC"/>
      </bottom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top style="thin">
        <color rgb="FFCCCCCC"/>
      </top>
      <bottom style="thin">
        <color rgb="FFCCCCCC"/>
      </bottom>
    </border>
    <border>
      <right style="thin">
        <color rgb="FF000000"/>
      </right>
      <top style="thin">
        <color rgb="FFCCCCCC"/>
      </top>
      <bottom style="thin">
        <color rgb="FFCCCCCC"/>
      </bottom>
    </border>
    <border>
      <left style="thin">
        <color rgb="FF000000"/>
      </left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000000"/>
      </bottom>
    </border>
    <border>
      <left style="thin">
        <color rgb="FF000000"/>
      </left>
      <top style="thin">
        <color rgb="FFCCCCCC"/>
      </top>
      <bottom style="thin">
        <color rgb="FFCCCCCC"/>
      </bottom>
    </border>
    <border>
      <top style="thin">
        <color rgb="FFCCCCCC"/>
      </top>
      <bottom style="thin">
        <color rgb="FFCCCCCC"/>
      </bottom>
    </border>
    <border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000000"/>
      </left>
      <top style="thin">
        <color rgb="FFCCCCCC"/>
      </top>
    </border>
    <border>
      <right style="thin">
        <color rgb="FFCCCCCC"/>
      </right>
      <top style="thin">
        <color rgb="FFCCCCCC"/>
      </top>
    </border>
    <border>
      <left style="thin">
        <color rgb="FFCCCCCC"/>
      </left>
      <top style="thin">
        <color rgb="FFCCCCCC"/>
      </top>
    </border>
    <border>
      <left style="thin">
        <color rgb="FF000000"/>
      </left>
      <bottom style="thin">
        <color rgb="FFCCCCCC"/>
      </bottom>
    </border>
    <border>
      <right style="thin">
        <color rgb="FFCCCCCC"/>
      </right>
      <bottom style="thin">
        <color rgb="FFCCCCCC"/>
      </bottom>
    </border>
    <border>
      <left style="thin">
        <color rgb="FFCCCCCC"/>
      </left>
      <bottom style="thin">
        <color rgb="FFCCCCCC"/>
      </bottom>
    </border>
    <border>
      <right style="thin">
        <color rgb="FF000000"/>
      </right>
      <bottom style="thin">
        <color rgb="FFCCCCCC"/>
      </bottom>
    </border>
    <border>
      <bottom style="thin">
        <color rgb="FF000000"/>
      </bottom>
    </border>
    <border>
      <right style="thin">
        <color rgb="FF999999"/>
      </right>
      <top style="double">
        <color rgb="FF000000"/>
      </top>
      <bottom style="double">
        <color rgb="FF000000"/>
      </bottom>
    </border>
    <border>
      <left style="thin">
        <color rgb="FF999999"/>
      </left>
      <top style="double">
        <color rgb="FF000000"/>
      </top>
      <bottom style="double">
        <color rgb="FF000000"/>
      </bottom>
    </border>
    <border>
      <right style="double">
        <color rgb="FF000000"/>
      </right>
      <top style="thin">
        <color rgb="FF000000"/>
      </top>
      <bottom style="thin">
        <color rgb="FF999999"/>
      </bottom>
    </border>
    <border>
      <right style="double">
        <color rgb="FF000000"/>
      </right>
      <top style="thin">
        <color rgb="FF999999"/>
      </top>
      <bottom style="thin">
        <color rgb="FF999999"/>
      </bottom>
    </border>
    <border>
      <right style="thin">
        <color rgb="FFCCCCCC"/>
      </right>
      <top style="thin">
        <color rgb="FF999999"/>
      </top>
    </border>
    <border>
      <left style="thin">
        <color rgb="FFCCCCCC"/>
      </left>
      <right style="thin">
        <color rgb="FFCCCCCC"/>
      </right>
      <top style="thin">
        <color rgb="FF999999"/>
      </top>
    </border>
    <border>
      <right style="double">
        <color rgb="FF000000"/>
      </right>
      <top style="thin">
        <color rgb="FF999999"/>
      </top>
      <bottom style="thin">
        <color rgb="FF000000"/>
      </bottom>
    </border>
    <border>
      <left style="thin">
        <color rgb="FFCCCCCC"/>
      </left>
      <bottom style="thin">
        <color rgb="FF000000"/>
      </bottom>
    </border>
    <border>
      <right style="thin">
        <color rgb="FFE6E6E6"/>
      </right>
      <bottom style="thin">
        <color rgb="FF000000"/>
      </bottom>
    </border>
    <border>
      <left style="thin">
        <color rgb="FF999999"/>
      </left>
      <right style="thin">
        <color rgb="FFCCCCCC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999999"/>
      </right>
      <top style="thin">
        <color rgb="FF000000"/>
      </top>
      <bottom style="thin">
        <color rgb="FF999999"/>
      </bottom>
    </border>
    <border>
      <left style="thin">
        <color rgb="FF999999"/>
      </left>
      <right style="thin">
        <color rgb="FF000000"/>
      </right>
      <top style="thin">
        <color rgb="FF000000"/>
      </top>
      <bottom style="thin">
        <color rgb="FF999999"/>
      </bottom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CCCCCC"/>
      </bottom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top style="thin">
        <color rgb="FFCCCCCC"/>
      </top>
      <bottom style="medium">
        <color rgb="FF000000"/>
      </bottom>
    </border>
    <border>
      <top style="thin">
        <color rgb="FFCCCCCC"/>
      </top>
      <bottom style="medium">
        <color rgb="FF000000"/>
      </bottom>
    </border>
    <border>
      <right style="thin">
        <color rgb="FF000000"/>
      </right>
      <top style="thin">
        <color rgb="FFCCCCCC"/>
      </top>
      <bottom style="medium">
        <color rgb="FF000000"/>
      </bottom>
    </border>
    <border>
      <left style="thin">
        <color rgb="FF000000"/>
      </left>
      <right style="thin">
        <color rgb="FFE6E6E6"/>
      </right>
      <top style="thin">
        <color rgb="FF000000"/>
      </top>
      <bottom style="thin">
        <color rgb="FFE6E6E6"/>
      </bottom>
    </border>
    <border>
      <left style="thin">
        <color rgb="FFE6E6E6"/>
      </left>
      <right style="thin">
        <color rgb="FFE6E6E6"/>
      </right>
      <top style="thin">
        <color rgb="FF000000"/>
      </top>
      <bottom style="thin">
        <color rgb="FFE6E6E6"/>
      </bottom>
    </border>
    <border>
      <left style="thin">
        <color rgb="FFE6E6E6"/>
      </left>
      <right style="thin">
        <color rgb="FF000000"/>
      </right>
      <top style="thin">
        <color rgb="FF000000"/>
      </top>
      <bottom style="thin">
        <color rgb="FFE6E6E6"/>
      </bottom>
    </border>
    <border>
      <left style="thin">
        <color rgb="FF000000"/>
      </left>
      <right style="thin">
        <color rgb="FFE6E6E6"/>
      </right>
      <top style="thin">
        <color rgb="FFE6E6E6"/>
      </top>
      <bottom style="thin">
        <color rgb="FFE6E6E6"/>
      </bottom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</border>
    <border>
      <left style="thin">
        <color rgb="FFE6E6E6"/>
      </left>
      <right style="thin">
        <color rgb="FF000000"/>
      </right>
      <top style="thin">
        <color rgb="FFE6E6E6"/>
      </top>
      <bottom style="thin">
        <color rgb="FFE6E6E6"/>
      </bottom>
    </border>
    <border>
      <left style="thin">
        <color rgb="FF000000"/>
      </left>
      <right style="thin">
        <color rgb="FFE6E6E6"/>
      </right>
      <top style="thin">
        <color rgb="FFE6E6E6"/>
      </top>
      <bottom style="thin">
        <color rgb="FF000000"/>
      </bottom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000000"/>
      </bottom>
    </border>
    <border>
      <left style="thin">
        <color rgb="FFE6E6E6"/>
      </left>
      <right style="thin">
        <color rgb="FF000000"/>
      </right>
      <top style="thin">
        <color rgb="FFE6E6E6"/>
      </top>
      <bottom style="thin">
        <color rgb="FF000000"/>
      </bottom>
    </border>
  </borders>
  <cellStyleXfs count="1">
    <xf borderId="0" fillId="0" fontId="0" numFmtId="0" applyAlignment="1" applyFont="1"/>
  </cellStyleXfs>
  <cellXfs count="4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center" wrapText="0"/>
    </xf>
    <xf borderId="0" fillId="0" fontId="2" numFmtId="0" xfId="0" applyAlignment="1" applyFont="1">
      <alignment horizontal="left" readingOrder="0" shrinkToFit="0" vertical="bottom" wrapText="0"/>
    </xf>
    <xf borderId="1" fillId="0" fontId="2" numFmtId="0" xfId="0" applyAlignment="1" applyBorder="1" applyFont="1">
      <alignment horizontal="left" readingOrder="0" shrinkToFit="0" vertical="bottom" wrapText="0"/>
    </xf>
    <xf borderId="1" fillId="0" fontId="3" numFmtId="0" xfId="0" applyBorder="1" applyFont="1"/>
    <xf borderId="2" fillId="0" fontId="4" numFmtId="0" xfId="0" applyAlignment="1" applyBorder="1" applyFont="1">
      <alignment horizontal="center" readingOrder="0" shrinkToFit="0" vertical="center" wrapText="0"/>
    </xf>
    <xf borderId="0" fillId="0" fontId="5" numFmtId="0" xfId="0" applyAlignment="1" applyFont="1">
      <alignment horizontal="center" readingOrder="0" shrinkToFit="0" vertical="bottom" wrapText="0"/>
    </xf>
    <xf borderId="3" fillId="0" fontId="3" numFmtId="0" xfId="0" applyBorder="1" applyFont="1"/>
    <xf borderId="4" fillId="0" fontId="1" numFmtId="0" xfId="0" applyAlignment="1" applyBorder="1" applyFont="1">
      <alignment horizontal="left" readingOrder="0" shrinkToFit="0" vertical="center" wrapText="0"/>
    </xf>
    <xf borderId="5" fillId="0" fontId="3" numFmtId="0" xfId="0" applyBorder="1" applyFont="1"/>
    <xf borderId="6" fillId="0" fontId="1" numFmtId="0" xfId="0" applyAlignment="1" applyBorder="1" applyFont="1">
      <alignment horizontal="left" readingOrder="0" shrinkToFit="0" vertical="center" wrapText="0"/>
    </xf>
    <xf borderId="4" fillId="0" fontId="1" numFmtId="0" xfId="0" applyAlignment="1" applyBorder="1" applyFont="1">
      <alignment horizontal="center" readingOrder="0" shrinkToFit="0" vertical="center" wrapText="0"/>
    </xf>
    <xf borderId="4" fillId="0" fontId="1" numFmtId="164" xfId="0" applyAlignment="1" applyBorder="1" applyFont="1" applyNumberFormat="1">
      <alignment horizontal="center" readingOrder="0" shrinkToFit="0" vertical="center" wrapText="0"/>
    </xf>
    <xf borderId="6" fillId="0" fontId="1" numFmtId="0" xfId="0" applyAlignment="1" applyBorder="1" applyFont="1">
      <alignment horizontal="center" readingOrder="0" shrinkToFit="0" vertical="center" wrapText="0"/>
    </xf>
    <xf borderId="6" fillId="0" fontId="6" numFmtId="0" xfId="0" applyAlignment="1" applyBorder="1" applyFont="1">
      <alignment horizontal="left" readingOrder="0" shrinkToFit="0" vertical="center" wrapText="0"/>
    </xf>
    <xf borderId="7" fillId="0" fontId="3" numFmtId="0" xfId="0" applyBorder="1" applyFont="1"/>
    <xf borderId="8" fillId="0" fontId="3" numFmtId="0" xfId="0" applyBorder="1" applyFont="1"/>
    <xf borderId="9" fillId="0" fontId="1" numFmtId="0" xfId="0" applyAlignment="1" applyBorder="1" applyFont="1">
      <alignment horizontal="left" readingOrder="0" shrinkToFit="0" vertical="center" wrapText="0"/>
    </xf>
    <xf borderId="10" fillId="0" fontId="1" numFmtId="49" xfId="0" applyAlignment="1" applyBorder="1" applyFont="1" applyNumberFormat="1">
      <alignment horizontal="center" readingOrder="0" shrinkToFit="0" vertical="center" wrapText="0"/>
    </xf>
    <xf borderId="10" fillId="0" fontId="1" numFmtId="49" xfId="0" applyAlignment="1" applyBorder="1" applyFont="1" applyNumberFormat="1">
      <alignment horizontal="left" readingOrder="0" shrinkToFit="0" vertical="center" wrapText="0"/>
    </xf>
    <xf borderId="11" fillId="0" fontId="1" numFmtId="49" xfId="0" applyAlignment="1" applyBorder="1" applyFont="1" applyNumberFormat="1">
      <alignment horizontal="center" readingOrder="0" shrinkToFit="0" vertical="center" wrapText="0"/>
    </xf>
    <xf borderId="12" fillId="0" fontId="1" numFmtId="0" xfId="0" applyAlignment="1" applyBorder="1" applyFont="1">
      <alignment horizontal="left" readingOrder="0" shrinkToFit="0" vertical="center" wrapText="1"/>
    </xf>
    <xf borderId="13" fillId="0" fontId="3" numFmtId="0" xfId="0" applyBorder="1" applyFont="1"/>
    <xf borderId="14" fillId="0" fontId="3" numFmtId="0" xfId="0" applyBorder="1" applyFont="1"/>
    <xf borderId="15" fillId="0" fontId="1" numFmtId="0" xfId="0" applyAlignment="1" applyBorder="1" applyFont="1">
      <alignment horizontal="left" readingOrder="0" shrinkToFit="0" vertical="center" wrapText="1"/>
    </xf>
    <xf borderId="16" fillId="0" fontId="3" numFmtId="0" xfId="0" applyBorder="1" applyFont="1"/>
    <xf borderId="17" fillId="0" fontId="1" numFmtId="0" xfId="0" applyAlignment="1" applyBorder="1" applyFont="1">
      <alignment horizontal="left" readingOrder="0" shrinkToFit="0" vertical="center" wrapText="1"/>
    </xf>
    <xf borderId="18" fillId="0" fontId="3" numFmtId="0" xfId="0" applyBorder="1" applyFont="1"/>
    <xf borderId="19" fillId="0" fontId="3" numFmtId="0" xfId="0" applyBorder="1" applyFont="1"/>
    <xf borderId="20" fillId="0" fontId="1" numFmtId="0" xfId="0" applyAlignment="1" applyBorder="1" applyFont="1">
      <alignment horizontal="left" readingOrder="0" shrinkToFit="0" vertical="center" wrapText="1"/>
    </xf>
    <xf borderId="21" fillId="0" fontId="3" numFmtId="0" xfId="0" applyBorder="1" applyFont="1"/>
    <xf borderId="22" fillId="0" fontId="1" numFmtId="0" xfId="0" applyAlignment="1" applyBorder="1" applyFont="1">
      <alignment horizontal="center" readingOrder="0" shrinkToFit="0" vertical="center" wrapText="0"/>
    </xf>
    <xf borderId="23" fillId="0" fontId="1" numFmtId="0" xfId="0" applyAlignment="1" applyBorder="1" applyFont="1">
      <alignment horizontal="left" readingOrder="0" shrinkToFit="0" vertical="center" wrapText="0"/>
    </xf>
    <xf borderId="23" fillId="0" fontId="1" numFmtId="0" xfId="0" applyAlignment="1" applyBorder="1" applyFont="1">
      <alignment horizontal="center" readingOrder="0" shrinkToFit="0" vertical="center" wrapText="0"/>
    </xf>
    <xf borderId="24" fillId="0" fontId="1" numFmtId="0" xfId="0" applyAlignment="1" applyBorder="1" applyFont="1">
      <alignment horizontal="left" readingOrder="0" shrinkToFit="0" vertical="center" wrapText="0"/>
    </xf>
    <xf borderId="25" fillId="0" fontId="3" numFmtId="0" xfId="0" applyBorder="1" applyFont="1"/>
    <xf borderId="26" fillId="0" fontId="3" numFmtId="0" xfId="0" applyBorder="1" applyFont="1"/>
    <xf borderId="27" fillId="0" fontId="1" numFmtId="0" xfId="0" applyAlignment="1" applyBorder="1" applyFont="1">
      <alignment horizontal="center" readingOrder="0" shrinkToFit="0" vertical="center" wrapText="0"/>
    </xf>
    <xf borderId="28" fillId="0" fontId="1" numFmtId="0" xfId="0" applyAlignment="1" applyBorder="1" applyFont="1">
      <alignment horizontal="left" shrinkToFit="0" vertical="center" wrapText="0"/>
    </xf>
    <xf borderId="28" fillId="0" fontId="1" numFmtId="0" xfId="0" applyAlignment="1" applyBorder="1" applyFont="1">
      <alignment horizontal="left" readingOrder="0" shrinkToFit="0" vertical="center" wrapText="0"/>
    </xf>
    <xf borderId="28" fillId="0" fontId="1" numFmtId="0" xfId="0" applyAlignment="1" applyBorder="1" applyFont="1">
      <alignment horizontal="center" readingOrder="0" shrinkToFit="0" vertical="center" wrapText="0"/>
    </xf>
    <xf borderId="28" fillId="0" fontId="1" numFmtId="0" xfId="0" applyAlignment="1" applyBorder="1" applyFont="1">
      <alignment horizontal="center" shrinkToFit="0" vertical="center" wrapText="0"/>
    </xf>
    <xf borderId="29" fillId="0" fontId="1" numFmtId="0" xfId="0" applyAlignment="1" applyBorder="1" applyFont="1">
      <alignment horizontal="left" shrinkToFit="0" vertical="center" wrapText="0"/>
    </xf>
    <xf borderId="30" fillId="0" fontId="3" numFmtId="0" xfId="0" applyBorder="1" applyFont="1"/>
    <xf borderId="31" fillId="0" fontId="3" numFmtId="0" xfId="0" applyBorder="1" applyFont="1"/>
    <xf borderId="32" fillId="0" fontId="1" numFmtId="0" xfId="0" applyAlignment="1" applyBorder="1" applyFont="1">
      <alignment horizontal="center" readingOrder="0" shrinkToFit="0" vertical="center" wrapText="0"/>
    </xf>
    <xf borderId="33" fillId="0" fontId="1" numFmtId="0" xfId="0" applyAlignment="1" applyBorder="1" applyFont="1">
      <alignment horizontal="left" shrinkToFit="0" vertical="center" wrapText="0"/>
    </xf>
    <xf borderId="33" fillId="0" fontId="1" numFmtId="0" xfId="0" applyAlignment="1" applyBorder="1" applyFont="1">
      <alignment horizontal="center" readingOrder="0" shrinkToFit="0" vertical="center" wrapText="0"/>
    </xf>
    <xf borderId="33" fillId="0" fontId="1" numFmtId="0" xfId="0" applyAlignment="1" applyBorder="1" applyFont="1">
      <alignment horizontal="center" shrinkToFit="0" vertical="center" wrapText="0"/>
    </xf>
    <xf borderId="34" fillId="0" fontId="1" numFmtId="0" xfId="0" applyAlignment="1" applyBorder="1" applyFont="1">
      <alignment horizontal="left" shrinkToFit="0" vertical="center" wrapText="0"/>
    </xf>
    <xf borderId="35" fillId="0" fontId="3" numFmtId="0" xfId="0" applyBorder="1" applyFont="1"/>
    <xf borderId="36" fillId="0" fontId="3" numFmtId="0" xfId="0" applyBorder="1" applyFont="1"/>
    <xf borderId="37" fillId="0" fontId="3" numFmtId="0" xfId="0" applyBorder="1" applyFont="1"/>
    <xf borderId="38" fillId="0" fontId="6" numFmtId="0" xfId="0" applyAlignment="1" applyBorder="1" applyFont="1">
      <alignment horizontal="left" readingOrder="0" shrinkToFit="0" vertical="bottom" wrapText="0"/>
    </xf>
    <xf borderId="38" fillId="0" fontId="3" numFmtId="0" xfId="0" applyBorder="1" applyFont="1"/>
    <xf borderId="38" fillId="0" fontId="7" numFmtId="0" xfId="0" applyAlignment="1" applyBorder="1" applyFont="1">
      <alignment horizontal="center" readingOrder="0" shrinkToFit="0" vertical="bottom" wrapText="0"/>
    </xf>
    <xf borderId="38" fillId="0" fontId="6" numFmtId="0" xfId="0" applyAlignment="1" applyBorder="1" applyFont="1">
      <alignment horizontal="right" readingOrder="0" shrinkToFit="0" vertical="bottom" wrapText="0"/>
    </xf>
    <xf borderId="0" fillId="0" fontId="6" numFmtId="0" xfId="0" applyAlignment="1" applyFont="1">
      <alignment horizontal="left" readingOrder="0" shrinkToFit="0" vertical="center" wrapText="0"/>
    </xf>
    <xf borderId="0" fillId="0" fontId="6" numFmtId="0" xfId="0" applyAlignment="1" applyFont="1">
      <alignment horizontal="center" readingOrder="0" shrinkToFit="0" vertical="center" wrapText="0"/>
    </xf>
    <xf borderId="0" fillId="0" fontId="6" numFmtId="0" xfId="0" applyAlignment="1" applyFont="1">
      <alignment horizontal="right" readingOrder="0" shrinkToFit="0" vertical="center" wrapText="0"/>
    </xf>
    <xf borderId="0" fillId="0" fontId="1" numFmtId="164" xfId="0" applyAlignment="1" applyFont="1" applyNumberFormat="1">
      <alignment horizontal="left" shrinkToFit="0" vertical="center" wrapText="0"/>
    </xf>
    <xf borderId="0" fillId="0" fontId="1" numFmtId="0" xfId="0" applyAlignment="1" applyFont="1">
      <alignment horizontal="left" readingOrder="0" shrinkToFit="0" vertical="center" wrapText="0"/>
    </xf>
    <xf borderId="0" fillId="0" fontId="8" numFmtId="0" xfId="0" applyAlignment="1" applyFont="1">
      <alignment horizontal="right" readingOrder="0" shrinkToFit="0" vertical="center" wrapText="0"/>
    </xf>
    <xf borderId="39" fillId="2" fontId="9" numFmtId="0" xfId="0" applyAlignment="1" applyBorder="1" applyFill="1" applyFont="1">
      <alignment horizontal="center" readingOrder="0" shrinkToFit="0" vertical="center" wrapText="0"/>
    </xf>
    <xf borderId="40" fillId="3" fontId="8" numFmtId="0" xfId="0" applyAlignment="1" applyBorder="1" applyFill="1" applyFont="1">
      <alignment horizontal="center" readingOrder="0" shrinkToFit="0" vertical="center" wrapText="0"/>
    </xf>
    <xf borderId="41" fillId="0" fontId="1" numFmtId="0" xfId="0" applyAlignment="1" applyBorder="1" applyFont="1">
      <alignment horizontal="center" readingOrder="0" shrinkToFit="0" vertical="center" wrapText="0"/>
    </xf>
    <xf borderId="42" fillId="0" fontId="1" numFmtId="0" xfId="0" applyAlignment="1" applyBorder="1" applyFont="1">
      <alignment horizontal="center" readingOrder="0" shrinkToFit="0" vertical="center" wrapText="0"/>
    </xf>
    <xf borderId="43" fillId="0" fontId="10" numFmtId="0" xfId="0" applyAlignment="1" applyBorder="1" applyFont="1">
      <alignment horizontal="center" readingOrder="0" shrinkToFit="0" vertical="center" wrapText="0"/>
    </xf>
    <xf borderId="40" fillId="3" fontId="8" numFmtId="0" xfId="0" applyAlignment="1" applyBorder="1" applyFont="1">
      <alignment horizontal="center" shrinkToFit="0" vertical="center" wrapText="0"/>
    </xf>
    <xf borderId="44" fillId="0" fontId="3" numFmtId="0" xfId="0" applyBorder="1" applyFont="1"/>
    <xf borderId="4" fillId="0" fontId="1" numFmtId="165" xfId="0" applyAlignment="1" applyBorder="1" applyFont="1" applyNumberFormat="1">
      <alignment horizontal="center" readingOrder="0" shrinkToFit="0" vertical="center" wrapText="0"/>
    </xf>
    <xf borderId="4" fillId="2" fontId="1" numFmtId="0" xfId="0" applyAlignment="1" applyBorder="1" applyFont="1">
      <alignment horizontal="center" shrinkToFit="0" vertical="center" wrapText="0"/>
    </xf>
    <xf borderId="45" fillId="2" fontId="11" numFmtId="0" xfId="0" applyAlignment="1" applyBorder="1" applyFont="1">
      <alignment horizontal="center" readingOrder="0" shrinkToFit="0" vertical="center" wrapText="0"/>
    </xf>
    <xf borderId="46" fillId="0" fontId="3" numFmtId="0" xfId="0" applyBorder="1" applyFont="1"/>
    <xf borderId="47" fillId="0" fontId="3" numFmtId="0" xfId="0" applyBorder="1" applyFont="1"/>
    <xf borderId="48" fillId="0" fontId="3" numFmtId="0" xfId="0" applyBorder="1" applyFont="1"/>
    <xf borderId="49" fillId="0" fontId="3" numFmtId="0" xfId="0" applyBorder="1" applyFont="1"/>
    <xf borderId="50" fillId="0" fontId="3" numFmtId="0" xfId="0" applyBorder="1" applyFont="1"/>
    <xf borderId="51" fillId="0" fontId="1" numFmtId="0" xfId="0" applyAlignment="1" applyBorder="1" applyFont="1">
      <alignment horizontal="left" readingOrder="0" shrinkToFit="0" vertical="center" wrapText="0"/>
    </xf>
    <xf borderId="52" fillId="0" fontId="3" numFmtId="0" xfId="0" applyBorder="1" applyFont="1"/>
    <xf borderId="0" fillId="0" fontId="12" numFmtId="0" xfId="0" applyAlignment="1" applyFont="1">
      <alignment horizontal="left" readingOrder="0" shrinkToFit="0" vertical="bottom" wrapText="0"/>
    </xf>
    <xf borderId="12" fillId="0" fontId="1" numFmtId="0" xfId="0" applyAlignment="1" applyBorder="1" applyFont="1">
      <alignment horizontal="left" readingOrder="0" shrinkToFit="0" vertical="center" wrapText="0"/>
    </xf>
    <xf borderId="15" fillId="0" fontId="1" numFmtId="0" xfId="0" applyAlignment="1" applyBorder="1" applyFont="1">
      <alignment horizontal="left" readingOrder="0" shrinkToFit="0" vertical="center" wrapText="0"/>
    </xf>
    <xf borderId="17" fillId="0" fontId="1" numFmtId="0" xfId="0" applyAlignment="1" applyBorder="1" applyFont="1">
      <alignment horizontal="left" readingOrder="0" shrinkToFit="0" vertical="center" wrapText="0"/>
    </xf>
    <xf borderId="20" fillId="0" fontId="1" numFmtId="0" xfId="0" applyAlignment="1" applyBorder="1" applyFont="1">
      <alignment horizontal="left" readingOrder="0" shrinkToFit="0" vertical="center" wrapText="0"/>
    </xf>
    <xf borderId="17" fillId="0" fontId="1" numFmtId="0" xfId="0" applyAlignment="1" applyBorder="1" applyFont="1">
      <alignment horizontal="left" shrinkToFit="0" vertical="center" wrapText="0"/>
    </xf>
    <xf borderId="18" fillId="0" fontId="1" numFmtId="0" xfId="0" applyAlignment="1" applyBorder="1" applyFont="1">
      <alignment horizontal="left" shrinkToFit="0" vertical="center" wrapText="0"/>
    </xf>
    <xf borderId="21" fillId="0" fontId="1" numFmtId="0" xfId="0" applyAlignment="1" applyBorder="1" applyFont="1">
      <alignment horizontal="left" shrinkToFit="0" vertical="center" wrapText="0"/>
    </xf>
    <xf borderId="53" fillId="2" fontId="1" numFmtId="0" xfId="0" applyAlignment="1" applyBorder="1" applyFont="1">
      <alignment horizontal="left" readingOrder="0" shrinkToFit="0" vertical="center" wrapText="0"/>
    </xf>
    <xf borderId="54" fillId="0" fontId="3" numFmtId="0" xfId="0" applyBorder="1" applyFont="1"/>
    <xf borderId="55" fillId="0" fontId="1" numFmtId="0" xfId="0" applyAlignment="1" applyBorder="1" applyFont="1">
      <alignment horizontal="center" readingOrder="0" shrinkToFit="0" vertical="center" wrapText="0"/>
    </xf>
    <xf borderId="56" fillId="0" fontId="1" numFmtId="0" xfId="0" applyAlignment="1" applyBorder="1" applyFont="1">
      <alignment horizontal="left" shrinkToFit="0" vertical="center" wrapText="0"/>
    </xf>
    <xf borderId="6" fillId="3" fontId="1" numFmtId="0" xfId="0" applyAlignment="1" applyBorder="1" applyFont="1">
      <alignment horizontal="center" shrinkToFit="0" vertical="center" wrapText="0"/>
    </xf>
    <xf borderId="57" fillId="0" fontId="1" numFmtId="0" xfId="0" applyAlignment="1" applyBorder="1" applyFont="1">
      <alignment horizontal="center" readingOrder="0" shrinkToFit="0" vertical="center" wrapText="0"/>
    </xf>
    <xf borderId="0" fillId="0" fontId="5" numFmtId="0" xfId="0" applyAlignment="1" applyFont="1">
      <alignment horizontal="right" readingOrder="0" shrinkToFit="0" vertical="bottom" wrapText="0"/>
    </xf>
    <xf borderId="6" fillId="2" fontId="1" numFmtId="0" xfId="0" applyAlignment="1" applyBorder="1" applyFont="1">
      <alignment horizontal="center" shrinkToFit="0" vertical="center" wrapText="0"/>
    </xf>
    <xf borderId="53" fillId="0" fontId="1" numFmtId="0" xfId="0" applyAlignment="1" applyBorder="1" applyFont="1">
      <alignment horizontal="left" readingOrder="0" shrinkToFit="0" vertical="center" wrapText="0"/>
    </xf>
    <xf borderId="58" fillId="0" fontId="1" numFmtId="0" xfId="0" applyAlignment="1" applyBorder="1" applyFont="1">
      <alignment horizontal="center" readingOrder="0" shrinkToFit="0" vertical="center" wrapText="0"/>
    </xf>
    <xf borderId="1" fillId="0" fontId="1" numFmtId="0" xfId="0" applyAlignment="1" applyBorder="1" applyFont="1">
      <alignment horizontal="left" shrinkToFit="0" vertical="center" wrapText="0"/>
    </xf>
    <xf borderId="59" fillId="0" fontId="3" numFmtId="0" xfId="0" applyBorder="1" applyFont="1"/>
    <xf borderId="60" fillId="0" fontId="1" numFmtId="0" xfId="0" applyAlignment="1" applyBorder="1" applyFont="1">
      <alignment horizontal="left" shrinkToFit="0" vertical="center" wrapText="0"/>
    </xf>
    <xf borderId="1" fillId="0" fontId="11" numFmtId="0" xfId="0" applyAlignment="1" applyBorder="1" applyFont="1">
      <alignment horizontal="center" readingOrder="0" shrinkToFit="0" vertical="bottom" wrapText="0"/>
    </xf>
    <xf borderId="0" fillId="0" fontId="5" numFmtId="0" xfId="0" applyAlignment="1" applyFont="1">
      <alignment horizontal="center" shrinkToFit="0" vertical="bottom" wrapText="0"/>
    </xf>
    <xf borderId="60" fillId="0" fontId="5" numFmtId="0" xfId="0" applyAlignment="1" applyBorder="1" applyFont="1">
      <alignment horizontal="center" readingOrder="0" shrinkToFit="0" vertical="bottom" wrapText="0"/>
    </xf>
    <xf borderId="59" fillId="0" fontId="5" numFmtId="0" xfId="0" applyAlignment="1" applyBorder="1" applyFont="1">
      <alignment horizontal="center" readingOrder="0" shrinkToFit="0" vertical="bottom" wrapText="0"/>
    </xf>
    <xf borderId="61" fillId="0" fontId="3" numFmtId="0" xfId="0" applyBorder="1" applyFont="1"/>
    <xf borderId="30" fillId="0" fontId="1" numFmtId="0" xfId="0" applyAlignment="1" applyBorder="1" applyFont="1">
      <alignment horizontal="left" shrinkToFit="0" vertical="center" wrapText="0"/>
    </xf>
    <xf borderId="62" fillId="2" fontId="1" numFmtId="0" xfId="0" applyAlignment="1" applyBorder="1" applyFont="1">
      <alignment horizontal="center" shrinkToFit="0" vertical="center" wrapText="0"/>
    </xf>
    <xf borderId="63" fillId="2" fontId="1" numFmtId="0" xfId="0" applyAlignment="1" applyBorder="1" applyFont="1">
      <alignment horizontal="center" shrinkToFit="0" vertical="center" wrapText="0"/>
    </xf>
    <xf borderId="43" fillId="2" fontId="1" numFmtId="0" xfId="0" applyAlignment="1" applyBorder="1" applyFont="1">
      <alignment horizontal="center" shrinkToFit="0" vertical="center" wrapText="0"/>
    </xf>
    <xf borderId="64" fillId="2" fontId="1" numFmtId="0" xfId="0" applyAlignment="1" applyBorder="1" applyFont="1">
      <alignment horizontal="center" shrinkToFit="0" vertical="center" wrapText="0"/>
    </xf>
    <xf borderId="5" fillId="2" fontId="1" numFmtId="0" xfId="0" applyAlignment="1" applyBorder="1" applyFont="1">
      <alignment horizontal="center" shrinkToFit="0" vertical="center" wrapText="0"/>
    </xf>
    <xf borderId="29" fillId="2" fontId="1" numFmtId="0" xfId="0" applyAlignment="1" applyBorder="1" applyFont="1">
      <alignment horizontal="left" readingOrder="0" shrinkToFit="0" vertical="center" wrapText="0"/>
    </xf>
    <xf borderId="65" fillId="2" fontId="1" numFmtId="0" xfId="0" applyAlignment="1" applyBorder="1" applyFont="1">
      <alignment horizontal="center" shrinkToFit="0" vertical="center" wrapText="0"/>
    </xf>
    <xf borderId="66" fillId="2" fontId="1" numFmtId="0" xfId="0" applyAlignment="1" applyBorder="1" applyFont="1">
      <alignment horizontal="center" shrinkToFit="0" vertical="center" wrapText="0"/>
    </xf>
    <xf borderId="67" fillId="2" fontId="1" numFmtId="0" xfId="0" applyAlignment="1" applyBorder="1" applyFont="1">
      <alignment horizontal="center" shrinkToFit="0" vertical="center" wrapText="0"/>
    </xf>
    <xf borderId="68" fillId="2" fontId="1" numFmtId="0" xfId="0" applyAlignment="1" applyBorder="1" applyFont="1">
      <alignment horizontal="left" readingOrder="0" shrinkToFit="0" vertical="center" wrapText="0"/>
    </xf>
    <xf borderId="69" fillId="2" fontId="1" numFmtId="0" xfId="0" applyAlignment="1" applyBorder="1" applyFont="1">
      <alignment horizontal="center" shrinkToFit="0" vertical="center" wrapText="0"/>
    </xf>
    <xf borderId="70" fillId="2" fontId="1" numFmtId="0" xfId="0" applyAlignment="1" applyBorder="1" applyFont="1">
      <alignment horizontal="center" shrinkToFit="0" vertical="center" wrapText="0"/>
    </xf>
    <xf borderId="71" fillId="2" fontId="1" numFmtId="0" xfId="0" applyAlignment="1" applyBorder="1" applyFont="1">
      <alignment horizontal="center" shrinkToFit="0" vertical="center" wrapText="0"/>
    </xf>
    <xf borderId="49" fillId="2" fontId="1" numFmtId="0" xfId="0" applyAlignment="1" applyBorder="1" applyFont="1">
      <alignment horizontal="center" shrinkToFit="0" vertical="center" wrapText="0"/>
    </xf>
    <xf borderId="29" fillId="0" fontId="1" numFmtId="0" xfId="0" applyAlignment="1" applyBorder="1" applyFont="1">
      <alignment horizontal="left" readingOrder="0" shrinkToFit="0" vertical="center" wrapText="0"/>
    </xf>
    <xf borderId="72" fillId="2" fontId="1" numFmtId="0" xfId="0" applyAlignment="1" applyBorder="1" applyFont="1">
      <alignment horizontal="center" shrinkToFit="0" vertical="center" wrapText="0"/>
    </xf>
    <xf borderId="73" fillId="2" fontId="1" numFmtId="0" xfId="0" applyAlignment="1" applyBorder="1" applyFont="1">
      <alignment horizontal="center" shrinkToFit="0" vertical="center" wrapText="0"/>
    </xf>
    <xf borderId="7" fillId="2" fontId="1" numFmtId="0" xfId="0" applyAlignment="1" applyBorder="1" applyFont="1">
      <alignment horizontal="center" shrinkToFit="0" vertical="center" wrapText="0"/>
    </xf>
    <xf borderId="5" fillId="3" fontId="1" numFmtId="0" xfId="0" applyAlignment="1" applyBorder="1" applyFont="1">
      <alignment horizontal="center" shrinkToFit="0" vertical="center" wrapText="0"/>
    </xf>
    <xf borderId="58" fillId="2" fontId="1" numFmtId="0" xfId="0" applyAlignment="1" applyBorder="1" applyFont="1">
      <alignment horizontal="center" readingOrder="0" shrinkToFit="0" vertical="center" wrapText="0"/>
    </xf>
    <xf borderId="0" fillId="0" fontId="8" numFmtId="0" xfId="0" applyAlignment="1" applyFont="1">
      <alignment horizontal="left" readingOrder="0" shrinkToFit="0" vertical="center" wrapText="0"/>
    </xf>
    <xf borderId="0" fillId="0" fontId="11" numFmtId="0" xfId="0" applyAlignment="1" applyFont="1">
      <alignment horizontal="center" readingOrder="0" shrinkToFit="0" vertical="bottom" wrapText="0"/>
    </xf>
    <xf borderId="68" fillId="0" fontId="1" numFmtId="0" xfId="0" applyAlignment="1" applyBorder="1" applyFont="1">
      <alignment horizontal="left" readingOrder="0" shrinkToFit="0" vertical="center" wrapText="0"/>
    </xf>
    <xf borderId="74" fillId="0" fontId="1" numFmtId="0" xfId="0" applyAlignment="1" applyBorder="1" applyFont="1">
      <alignment horizontal="left" readingOrder="0" shrinkToFit="0" vertical="center" wrapText="0"/>
    </xf>
    <xf borderId="75" fillId="0" fontId="3" numFmtId="0" xfId="0" applyBorder="1" applyFont="1"/>
    <xf borderId="23" fillId="0" fontId="1" numFmtId="0" xfId="0" applyAlignment="1" applyBorder="1" applyFont="1">
      <alignment horizontal="right" readingOrder="0" shrinkToFit="0" vertical="center" wrapText="0"/>
    </xf>
    <xf borderId="23" fillId="2" fontId="1" numFmtId="0" xfId="0" applyAlignment="1" applyBorder="1" applyFont="1">
      <alignment horizontal="center" shrinkToFit="0" vertical="center" wrapText="0"/>
    </xf>
    <xf borderId="76" fillId="0" fontId="1" numFmtId="0" xfId="0" applyAlignment="1" applyBorder="1" applyFont="1">
      <alignment horizontal="left" readingOrder="0" shrinkToFit="0" vertical="center" wrapText="0"/>
    </xf>
    <xf borderId="28" fillId="0" fontId="1" numFmtId="0" xfId="0" applyAlignment="1" applyBorder="1" applyFont="1">
      <alignment horizontal="right" readingOrder="0" shrinkToFit="0" vertical="center" wrapText="0"/>
    </xf>
    <xf borderId="28" fillId="2" fontId="1" numFmtId="0" xfId="0" applyAlignment="1" applyBorder="1" applyFont="1">
      <alignment horizontal="center" shrinkToFit="0" vertical="center" wrapText="0"/>
    </xf>
    <xf borderId="6" fillId="2" fontId="1" numFmtId="0" xfId="0" applyAlignment="1" applyBorder="1" applyFont="1">
      <alignment horizontal="center" readingOrder="0" shrinkToFit="0" vertical="center" wrapText="0"/>
    </xf>
    <xf borderId="76" fillId="0" fontId="1" numFmtId="0" xfId="0" applyAlignment="1" applyBorder="1" applyFont="1">
      <alignment horizontal="left" shrinkToFit="0" vertical="center" wrapText="0"/>
    </xf>
    <xf borderId="2" fillId="2" fontId="1" numFmtId="0" xfId="0" applyAlignment="1" applyBorder="1" applyFont="1">
      <alignment horizontal="center" shrinkToFit="0" vertical="center" wrapText="0"/>
    </xf>
    <xf borderId="77" fillId="0" fontId="1" numFmtId="0" xfId="0" applyAlignment="1" applyBorder="1" applyFont="1">
      <alignment horizontal="left" shrinkToFit="0" vertical="center" wrapText="0"/>
    </xf>
    <xf borderId="78" fillId="0" fontId="3" numFmtId="0" xfId="0" applyBorder="1" applyFont="1"/>
    <xf borderId="33" fillId="0" fontId="1" numFmtId="0" xfId="0" applyAlignment="1" applyBorder="1" applyFont="1">
      <alignment horizontal="right" readingOrder="0" shrinkToFit="0" vertical="center" wrapText="0"/>
    </xf>
    <xf borderId="33" fillId="2" fontId="1" numFmtId="0" xfId="0" applyAlignment="1" applyBorder="1" applyFont="1">
      <alignment horizontal="center" shrinkToFit="0" vertical="center" wrapText="0"/>
    </xf>
    <xf borderId="34" fillId="0" fontId="1" numFmtId="0" xfId="0" applyAlignment="1" applyBorder="1" applyFont="1">
      <alignment horizontal="left" readingOrder="0" shrinkToFit="0" vertical="center" wrapText="0"/>
    </xf>
    <xf borderId="0" fillId="0" fontId="1" numFmtId="0" xfId="0" applyAlignment="1" applyFont="1">
      <alignment horizontal="center" readingOrder="0" shrinkToFit="0" vertical="center" wrapText="0"/>
    </xf>
    <xf borderId="55" fillId="0" fontId="1" numFmtId="0" xfId="0" applyAlignment="1" applyBorder="1" applyFont="1">
      <alignment horizontal="left" readingOrder="0" shrinkToFit="0" vertical="center" wrapText="0"/>
    </xf>
    <xf borderId="2" fillId="0" fontId="1" numFmtId="0" xfId="0" applyAlignment="1" applyBorder="1" applyFont="1">
      <alignment horizontal="center" readingOrder="0" shrinkToFit="0" vertical="center" wrapText="0"/>
    </xf>
    <xf borderId="79" fillId="2" fontId="1" numFmtId="164" xfId="0" applyAlignment="1" applyBorder="1" applyFont="1" applyNumberFormat="1">
      <alignment horizontal="right" readingOrder="0" shrinkToFit="0" vertical="center" wrapText="0"/>
    </xf>
    <xf borderId="43" fillId="2" fontId="1" numFmtId="164" xfId="0" applyAlignment="1" applyBorder="1" applyFont="1" applyNumberFormat="1">
      <alignment horizontal="right" readingOrder="0" shrinkToFit="0" vertical="center" wrapText="0"/>
    </xf>
    <xf borderId="4" fillId="2" fontId="1" numFmtId="164" xfId="0" applyAlignment="1" applyBorder="1" applyFont="1" applyNumberFormat="1">
      <alignment horizontal="right" shrinkToFit="0" vertical="center" wrapText="0"/>
    </xf>
    <xf borderId="77" fillId="0" fontId="1" numFmtId="0" xfId="0" applyAlignment="1" applyBorder="1" applyFont="1">
      <alignment horizontal="left" readingOrder="0" shrinkToFit="0" vertical="center" wrapText="0"/>
    </xf>
    <xf borderId="58" fillId="0" fontId="1" numFmtId="0" xfId="0" applyAlignment="1" applyBorder="1" applyFont="1">
      <alignment horizontal="left" readingOrder="0" shrinkToFit="0" vertical="center" wrapText="0"/>
    </xf>
    <xf borderId="80" fillId="3" fontId="8" numFmtId="0" xfId="0" applyAlignment="1" applyBorder="1" applyFont="1">
      <alignment horizontal="center" readingOrder="0" shrinkToFit="0" vertical="center" wrapText="0"/>
    </xf>
    <xf borderId="81" fillId="2" fontId="8" numFmtId="0" xfId="0" applyAlignment="1" applyBorder="1" applyFont="1">
      <alignment horizontal="center" shrinkToFit="0" vertical="center" wrapText="0"/>
    </xf>
    <xf borderId="82" fillId="0" fontId="3" numFmtId="0" xfId="0" applyBorder="1" applyFont="1"/>
    <xf borderId="83" fillId="0" fontId="3" numFmtId="0" xfId="0" applyBorder="1" applyFont="1"/>
    <xf borderId="56" fillId="0" fontId="8" numFmtId="0" xfId="0" applyAlignment="1" applyBorder="1" applyFont="1">
      <alignment horizontal="right" readingOrder="0" shrinkToFit="0" vertical="center" wrapText="0"/>
    </xf>
    <xf borderId="56" fillId="0" fontId="3" numFmtId="0" xfId="0" applyBorder="1" applyFont="1"/>
    <xf borderId="84" fillId="0" fontId="3" numFmtId="0" xfId="0" applyBorder="1" applyFont="1"/>
    <xf borderId="81" fillId="0" fontId="1" numFmtId="166" xfId="0" applyAlignment="1" applyBorder="1" applyFont="1" applyNumberFormat="1">
      <alignment horizontal="left" readingOrder="0" shrinkToFit="0" vertical="center" wrapText="0"/>
    </xf>
    <xf borderId="24" fillId="0" fontId="1" numFmtId="166" xfId="0" applyAlignment="1" applyBorder="1" applyFont="1" applyNumberFormat="1">
      <alignment horizontal="left" readingOrder="0" shrinkToFit="0" vertical="center" wrapText="0"/>
    </xf>
    <xf borderId="85" fillId="0" fontId="13" numFmtId="167" xfId="0" applyAlignment="1" applyBorder="1" applyFont="1" applyNumberFormat="1">
      <alignment horizontal="left" readingOrder="0" shrinkToFit="0" vertical="center" wrapText="0"/>
    </xf>
    <xf borderId="86" fillId="0" fontId="3" numFmtId="0" xfId="0" applyBorder="1" applyFont="1"/>
    <xf borderId="29" fillId="0" fontId="1" numFmtId="166" xfId="0" applyAlignment="1" applyBorder="1" applyFont="1" applyNumberFormat="1">
      <alignment horizontal="left" readingOrder="0" shrinkToFit="0" vertical="center" wrapText="0"/>
    </xf>
    <xf borderId="4" fillId="0" fontId="13" numFmtId="168" xfId="0" applyAlignment="1" applyBorder="1" applyFont="1" applyNumberFormat="1">
      <alignment horizontal="left" readingOrder="0" shrinkToFit="0" vertical="center" wrapText="0"/>
    </xf>
    <xf borderId="4" fillId="0" fontId="14" numFmtId="168" xfId="0" applyAlignment="1" applyBorder="1" applyFont="1" applyNumberFormat="1">
      <alignment horizontal="left" readingOrder="0" shrinkToFit="0" vertical="center" wrapText="0"/>
    </xf>
    <xf borderId="4" fillId="2" fontId="14" numFmtId="168" xfId="0" applyAlignment="1" applyBorder="1" applyFont="1" applyNumberFormat="1">
      <alignment horizontal="left" readingOrder="0" shrinkToFit="0" vertical="center" wrapText="0"/>
    </xf>
    <xf borderId="34" fillId="0" fontId="1" numFmtId="166" xfId="0" applyAlignment="1" applyBorder="1" applyFont="1" applyNumberFormat="1">
      <alignment horizontal="left" readingOrder="0" shrinkToFit="0" vertical="center" wrapText="0"/>
    </xf>
    <xf borderId="4" fillId="2" fontId="1" numFmtId="0" xfId="0" applyAlignment="1" applyBorder="1" applyFont="1">
      <alignment horizontal="left" readingOrder="0" shrinkToFit="0" vertical="center" wrapText="0"/>
    </xf>
    <xf borderId="24" fillId="0" fontId="1" numFmtId="164" xfId="0" applyAlignment="1" applyBorder="1" applyFont="1" applyNumberFormat="1">
      <alignment horizontal="right" readingOrder="0" shrinkToFit="0" vertical="center" wrapText="0"/>
    </xf>
    <xf borderId="29" fillId="0" fontId="1" numFmtId="164" xfId="0" applyAlignment="1" applyBorder="1" applyFont="1" applyNumberFormat="1">
      <alignment horizontal="right" readingOrder="0" shrinkToFit="0" vertical="center" wrapText="0"/>
    </xf>
    <xf borderId="74" fillId="0" fontId="1" numFmtId="166" xfId="0" applyAlignment="1" applyBorder="1" applyFont="1" applyNumberFormat="1">
      <alignment horizontal="left" readingOrder="0" shrinkToFit="0" vertical="center" wrapText="0"/>
    </xf>
    <xf borderId="24" fillId="0" fontId="1" numFmtId="168" xfId="0" applyAlignment="1" applyBorder="1" applyFont="1" applyNumberFormat="1">
      <alignment horizontal="left" readingOrder="0" shrinkToFit="0" vertical="center" wrapText="0"/>
    </xf>
    <xf borderId="76" fillId="0" fontId="1" numFmtId="166" xfId="0" applyAlignment="1" applyBorder="1" applyFont="1" applyNumberFormat="1">
      <alignment horizontal="left" readingOrder="0" shrinkToFit="0" vertical="center" wrapText="0"/>
    </xf>
    <xf borderId="29" fillId="0" fontId="1" numFmtId="168" xfId="0" applyAlignment="1" applyBorder="1" applyFont="1" applyNumberFormat="1">
      <alignment horizontal="left" readingOrder="0" shrinkToFit="0" vertical="center" wrapText="0"/>
    </xf>
    <xf borderId="77" fillId="0" fontId="1" numFmtId="166" xfId="0" applyAlignment="1" applyBorder="1" applyFont="1" applyNumberFormat="1">
      <alignment horizontal="left" readingOrder="0" shrinkToFit="0" vertical="center" wrapText="0"/>
    </xf>
    <xf borderId="87" fillId="0" fontId="1" numFmtId="168" xfId="0" applyAlignment="1" applyBorder="1" applyFont="1" applyNumberFormat="1">
      <alignment horizontal="left" readingOrder="0" shrinkToFit="0" vertical="center" wrapText="0"/>
    </xf>
    <xf borderId="88" fillId="0" fontId="3" numFmtId="0" xfId="0" applyBorder="1" applyFont="1"/>
    <xf borderId="81" fillId="2" fontId="1" numFmtId="168" xfId="0" applyAlignment="1" applyBorder="1" applyFont="1" applyNumberFormat="1">
      <alignment horizontal="left" readingOrder="0" shrinkToFit="0" vertical="center" wrapText="0"/>
    </xf>
    <xf borderId="74" fillId="0" fontId="1" numFmtId="0" xfId="0" applyAlignment="1" applyBorder="1" applyFont="1">
      <alignment horizontal="left" shrinkToFit="0" vertical="center" wrapText="0"/>
    </xf>
    <xf borderId="87" fillId="0" fontId="1" numFmtId="166" xfId="0" applyAlignment="1" applyBorder="1" applyFont="1" applyNumberFormat="1">
      <alignment horizontal="left" readingOrder="0" shrinkToFit="0" vertical="center" wrapText="0"/>
    </xf>
    <xf borderId="81" fillId="2" fontId="1" numFmtId="166" xfId="0" applyAlignment="1" applyBorder="1" applyFont="1" applyNumberFormat="1">
      <alignment horizontal="left" readingOrder="0" shrinkToFit="0" vertical="center" wrapText="0"/>
    </xf>
    <xf borderId="33" fillId="0" fontId="1" numFmtId="0" xfId="0" applyAlignment="1" applyBorder="1" applyFont="1">
      <alignment horizontal="left" readingOrder="0" shrinkToFit="0" vertical="center" wrapText="0"/>
    </xf>
    <xf borderId="34" fillId="0" fontId="1" numFmtId="164" xfId="0" applyAlignment="1" applyBorder="1" applyFont="1" applyNumberFormat="1">
      <alignment horizontal="right" readingOrder="0" shrinkToFit="0" vertical="center" wrapText="0"/>
    </xf>
    <xf borderId="4" fillId="2" fontId="1" numFmtId="164" xfId="0" applyAlignment="1" applyBorder="1" applyFont="1" applyNumberFormat="1">
      <alignment horizontal="right" readingOrder="0" shrinkToFit="0" vertical="center" wrapText="0"/>
    </xf>
    <xf borderId="4" fillId="2" fontId="1" numFmtId="166" xfId="0" applyAlignment="1" applyBorder="1" applyFont="1" applyNumberFormat="1">
      <alignment horizontal="left" readingOrder="0" shrinkToFit="0" vertical="center" wrapText="0"/>
    </xf>
    <xf borderId="0" fillId="0" fontId="15" numFmtId="0" xfId="0" applyAlignment="1" applyFont="1">
      <alignment horizontal="left" readingOrder="0" shrinkToFit="0" vertical="center" wrapText="0"/>
    </xf>
    <xf borderId="4" fillId="2" fontId="1" numFmtId="0" xfId="0" applyAlignment="1" applyBorder="1" applyFont="1">
      <alignment horizontal="right" shrinkToFit="0" vertical="center" wrapText="0"/>
    </xf>
    <xf borderId="7" fillId="2" fontId="1" numFmtId="0" xfId="0" applyAlignment="1" applyBorder="1" applyFont="1">
      <alignment horizontal="center" readingOrder="0" shrinkToFit="0" vertical="center" wrapText="0"/>
    </xf>
    <xf borderId="5" fillId="2" fontId="1" numFmtId="0" xfId="0" applyAlignment="1" applyBorder="1" applyFont="1">
      <alignment horizontal="left" shrinkToFit="0" vertical="center" wrapText="0"/>
    </xf>
    <xf borderId="4" fillId="0" fontId="1" numFmtId="166" xfId="0" applyAlignment="1" applyBorder="1" applyFont="1" applyNumberFormat="1">
      <alignment horizontal="left" readingOrder="0" shrinkToFit="0" vertical="center" wrapText="0"/>
    </xf>
    <xf borderId="51" fillId="0" fontId="1" numFmtId="0" xfId="0" applyAlignment="1" applyBorder="1" applyFont="1">
      <alignment horizontal="center" readingOrder="0" shrinkToFit="0" vertical="center" wrapText="0"/>
    </xf>
    <xf borderId="89" fillId="0" fontId="1" numFmtId="0" xfId="0" applyAlignment="1" applyBorder="1" applyFont="1">
      <alignment horizontal="left" shrinkToFit="0" vertical="center" wrapText="0"/>
    </xf>
    <xf borderId="15" fillId="0" fontId="1" numFmtId="0" xfId="0" applyAlignment="1" applyBorder="1" applyFont="1">
      <alignment horizontal="left" shrinkToFit="0" vertical="center" wrapText="0"/>
    </xf>
    <xf borderId="81" fillId="3" fontId="1" numFmtId="0" xfId="0" applyAlignment="1" applyBorder="1" applyFont="1">
      <alignment horizontal="center" shrinkToFit="0" vertical="center" wrapText="0"/>
    </xf>
    <xf borderId="11" fillId="0" fontId="1" numFmtId="0" xfId="0" applyAlignment="1" applyBorder="1" applyFont="1">
      <alignment horizontal="center" readingOrder="0" shrinkToFit="0" vertical="center" wrapText="0"/>
    </xf>
    <xf borderId="90" fillId="0" fontId="1" numFmtId="0" xfId="0" applyAlignment="1" applyBorder="1" applyFont="1">
      <alignment horizontal="left" shrinkToFit="0" vertical="center" wrapText="0"/>
    </xf>
    <xf borderId="91" fillId="0" fontId="1" numFmtId="0" xfId="0" applyAlignment="1" applyBorder="1" applyFont="1">
      <alignment horizontal="left" shrinkToFit="0" vertical="center" wrapText="0"/>
    </xf>
    <xf borderId="92" fillId="0" fontId="3" numFmtId="0" xfId="0" applyBorder="1" applyFont="1"/>
    <xf borderId="24" fillId="0" fontId="1" numFmtId="0" xfId="0" applyAlignment="1" applyBorder="1" applyFont="1">
      <alignment horizontal="left" shrinkToFit="0" vertical="center" wrapText="0"/>
    </xf>
    <xf borderId="23" fillId="0" fontId="1" numFmtId="0" xfId="0" applyAlignment="1" applyBorder="1" applyFont="1">
      <alignment horizontal="left" shrinkToFit="0" vertical="center" wrapText="0"/>
    </xf>
    <xf borderId="23" fillId="0" fontId="1" numFmtId="0" xfId="0" applyAlignment="1" applyBorder="1" applyFont="1">
      <alignment horizontal="center" shrinkToFit="0" vertical="center" wrapText="0"/>
    </xf>
    <xf borderId="23" fillId="2" fontId="1" numFmtId="169" xfId="0" applyAlignment="1" applyBorder="1" applyFont="1" applyNumberFormat="1">
      <alignment horizontal="right" readingOrder="0" shrinkToFit="0" vertical="center" wrapText="0"/>
    </xf>
    <xf borderId="55" fillId="0" fontId="1" numFmtId="166" xfId="0" applyAlignment="1" applyBorder="1" applyFont="1" applyNumberFormat="1">
      <alignment horizontal="left" readingOrder="0" shrinkToFit="0" vertical="center" wrapText="0"/>
    </xf>
    <xf borderId="93" fillId="0" fontId="1" numFmtId="0" xfId="0" applyAlignment="1" applyBorder="1" applyFont="1">
      <alignment horizontal="left" shrinkToFit="0" vertical="center" wrapText="0"/>
    </xf>
    <xf borderId="28" fillId="2" fontId="1" numFmtId="169" xfId="0" applyAlignment="1" applyBorder="1" applyFont="1" applyNumberFormat="1">
      <alignment horizontal="right" readingOrder="0" shrinkToFit="0" vertical="center" wrapText="0"/>
    </xf>
    <xf borderId="57" fillId="0" fontId="1" numFmtId="166" xfId="0" applyAlignment="1" applyBorder="1" applyFont="1" applyNumberFormat="1">
      <alignment horizontal="left" readingOrder="0" shrinkToFit="0" vertical="center" wrapText="0"/>
    </xf>
    <xf borderId="74" fillId="0" fontId="1" numFmtId="0" xfId="0" applyAlignment="1" applyBorder="1" applyFont="1">
      <alignment horizontal="center" readingOrder="0" shrinkToFit="0" vertical="center" wrapText="0"/>
    </xf>
    <xf borderId="77" fillId="2" fontId="1" numFmtId="0" xfId="0" applyAlignment="1" applyBorder="1" applyFont="1">
      <alignment horizontal="left" readingOrder="0" shrinkToFit="0" vertical="center" wrapText="0"/>
    </xf>
    <xf borderId="77" fillId="2" fontId="1" numFmtId="0" xfId="0" applyAlignment="1" applyBorder="1" applyFont="1">
      <alignment horizontal="center" readingOrder="0" shrinkToFit="0" vertical="center" wrapText="0"/>
    </xf>
    <xf borderId="57" fillId="0" fontId="1" numFmtId="166" xfId="0" applyAlignment="1" applyBorder="1" applyFont="1" applyNumberFormat="1">
      <alignment horizontal="left" shrinkToFit="0" vertical="center" wrapText="0"/>
    </xf>
    <xf borderId="4" fillId="0" fontId="1" numFmtId="169" xfId="0" applyAlignment="1" applyBorder="1" applyFont="1" applyNumberFormat="1">
      <alignment horizontal="left" readingOrder="0" shrinkToFit="0" vertical="center" wrapText="0"/>
    </xf>
    <xf borderId="94" fillId="0" fontId="1" numFmtId="0" xfId="0" applyAlignment="1" applyBorder="1" applyFont="1">
      <alignment horizontal="left" shrinkToFit="0" vertical="center" wrapText="0"/>
    </xf>
    <xf borderId="20" fillId="0" fontId="1" numFmtId="0" xfId="0" applyAlignment="1" applyBorder="1" applyFont="1">
      <alignment horizontal="left" shrinkToFit="0" vertical="center" wrapText="0"/>
    </xf>
    <xf borderId="95" fillId="0" fontId="1" numFmtId="0" xfId="0" applyAlignment="1" applyBorder="1" applyFont="1">
      <alignment horizontal="left" readingOrder="0" shrinkToFit="0" vertical="center" wrapText="0"/>
    </xf>
    <xf borderId="96" fillId="0" fontId="3" numFmtId="0" xfId="0" applyBorder="1" applyFont="1"/>
    <xf borderId="97" fillId="0" fontId="3" numFmtId="0" xfId="0" applyBorder="1" applyFont="1"/>
    <xf borderId="91" fillId="0" fontId="1" numFmtId="0" xfId="0" applyAlignment="1" applyBorder="1" applyFont="1">
      <alignment horizontal="left" readingOrder="0" shrinkToFit="0" vertical="center" wrapText="0"/>
    </xf>
    <xf borderId="28" fillId="0" fontId="1" numFmtId="0" xfId="0" applyAlignment="1" applyBorder="1" applyFont="1">
      <alignment horizontal="right" shrinkToFit="0" vertical="center" wrapText="0"/>
    </xf>
    <xf borderId="95" fillId="0" fontId="1" numFmtId="0" xfId="0" applyAlignment="1" applyBorder="1" applyFont="1">
      <alignment horizontal="left" shrinkToFit="0" vertical="center" wrapText="0"/>
    </xf>
    <xf borderId="74" fillId="0" fontId="16" numFmtId="0" xfId="0" applyAlignment="1" applyBorder="1" applyFont="1">
      <alignment horizontal="left" readingOrder="0" shrinkToFit="0" vertical="center" wrapText="0"/>
    </xf>
    <xf borderId="24" fillId="0" fontId="16" numFmtId="0" xfId="0" applyAlignment="1" applyBorder="1" applyFont="1">
      <alignment horizontal="left" readingOrder="0" shrinkToFit="0" vertical="center" wrapText="0"/>
    </xf>
    <xf borderId="76" fillId="0" fontId="16" numFmtId="0" xfId="0" applyAlignment="1" applyBorder="1" applyFont="1">
      <alignment horizontal="left" readingOrder="0" shrinkToFit="0" vertical="center" wrapText="0"/>
    </xf>
    <xf borderId="29" fillId="0" fontId="16" numFmtId="0" xfId="0" applyAlignment="1" applyBorder="1" applyFont="1">
      <alignment horizontal="left" shrinkToFit="0" vertical="center" wrapText="0"/>
    </xf>
    <xf borderId="29" fillId="0" fontId="16" numFmtId="0" xfId="0" applyAlignment="1" applyBorder="1" applyFont="1">
      <alignment horizontal="left" readingOrder="0" shrinkToFit="0" vertical="center" wrapText="0"/>
    </xf>
    <xf borderId="77" fillId="0" fontId="16" numFmtId="0" xfId="0" applyAlignment="1" applyBorder="1" applyFont="1">
      <alignment horizontal="left" readingOrder="0" shrinkToFit="0" vertical="center" wrapText="0"/>
    </xf>
    <xf borderId="34" fillId="0" fontId="16" numFmtId="0" xfId="0" applyAlignment="1" applyBorder="1" applyFont="1">
      <alignment horizontal="left" shrinkToFit="0" vertical="center" wrapText="0"/>
    </xf>
    <xf borderId="24" fillId="0" fontId="1" numFmtId="0" xfId="0" applyAlignment="1" applyBorder="1" applyFont="1">
      <alignment horizontal="center" readingOrder="0" shrinkToFit="0" vertical="center" wrapText="0"/>
    </xf>
    <xf borderId="24" fillId="0" fontId="1" numFmtId="166" xfId="0" applyAlignment="1" applyBorder="1" applyFont="1" applyNumberFormat="1">
      <alignment horizontal="left" readingOrder="0" shrinkToFit="0" vertical="center" wrapText="0"/>
    </xf>
    <xf borderId="29" fillId="0" fontId="1" numFmtId="0" xfId="0" applyAlignment="1" applyBorder="1" applyFont="1">
      <alignment horizontal="center" readingOrder="0" shrinkToFit="0" vertical="center" wrapText="0"/>
    </xf>
    <xf borderId="29" fillId="0" fontId="1" numFmtId="166" xfId="0" applyAlignment="1" applyBorder="1" applyFont="1" applyNumberFormat="1">
      <alignment horizontal="left" readingOrder="0" shrinkToFit="0" vertical="center" wrapText="0"/>
    </xf>
    <xf borderId="33" fillId="0" fontId="1" numFmtId="0" xfId="0" applyAlignment="1" applyBorder="1" applyFont="1">
      <alignment horizontal="right" shrinkToFit="0" vertical="center" wrapText="0"/>
    </xf>
    <xf borderId="33" fillId="2" fontId="1" numFmtId="169" xfId="0" applyAlignment="1" applyBorder="1" applyFont="1" applyNumberFormat="1">
      <alignment horizontal="right" readingOrder="0" shrinkToFit="0" vertical="center" wrapText="0"/>
    </xf>
    <xf borderId="58" fillId="0" fontId="1" numFmtId="166" xfId="0" applyAlignment="1" applyBorder="1" applyFont="1" applyNumberFormat="1">
      <alignment horizontal="left" shrinkToFit="0" vertical="center" wrapText="0"/>
    </xf>
    <xf borderId="34" fillId="0" fontId="16" numFmtId="0" xfId="0" applyAlignment="1" applyBorder="1" applyFont="1">
      <alignment horizontal="left" readingOrder="0" shrinkToFit="0" vertical="center" wrapText="0"/>
    </xf>
    <xf borderId="34" fillId="0" fontId="1" numFmtId="0" xfId="0" applyAlignment="1" applyBorder="1" applyFont="1">
      <alignment horizontal="center" readingOrder="0" shrinkToFit="0" vertical="center" wrapText="0"/>
    </xf>
    <xf borderId="34" fillId="0" fontId="1" numFmtId="166" xfId="0" applyAlignment="1" applyBorder="1" applyFont="1" applyNumberFormat="1">
      <alignment horizontal="left" readingOrder="0" shrinkToFit="0" vertical="center" wrapText="0"/>
    </xf>
    <xf borderId="4" fillId="2" fontId="1" numFmtId="169" xfId="0" applyAlignment="1" applyBorder="1" applyFont="1" applyNumberFormat="1">
      <alignment horizontal="right" shrinkToFit="0" vertical="center" wrapText="0"/>
    </xf>
    <xf borderId="6" fillId="2" fontId="1" numFmtId="166" xfId="0" applyAlignment="1" applyBorder="1" applyFont="1" applyNumberFormat="1">
      <alignment horizontal="left" shrinkToFit="0" vertical="center" wrapText="0"/>
    </xf>
    <xf borderId="74" fillId="0" fontId="16" numFmtId="0" xfId="0" applyAlignment="1" applyBorder="1" applyFont="1">
      <alignment horizontal="left" shrinkToFit="0" vertical="center" wrapText="0"/>
    </xf>
    <xf borderId="24" fillId="0" fontId="16" numFmtId="0" xfId="0" applyAlignment="1" applyBorder="1" applyFont="1">
      <alignment horizontal="left" shrinkToFit="0" vertical="center" wrapText="0"/>
    </xf>
    <xf borderId="76" fillId="0" fontId="16" numFmtId="0" xfId="0" applyAlignment="1" applyBorder="1" applyFont="1">
      <alignment horizontal="left" shrinkToFit="0" vertical="center" wrapText="0"/>
    </xf>
    <xf borderId="77" fillId="0" fontId="16" numFmtId="0" xfId="0" applyAlignment="1" applyBorder="1" applyFont="1">
      <alignment horizontal="left" shrinkToFit="0" vertical="center" wrapText="0"/>
    </xf>
    <xf borderId="5" fillId="2" fontId="1" numFmtId="169" xfId="0" applyAlignment="1" applyBorder="1" applyFont="1" applyNumberFormat="1">
      <alignment horizontal="left" shrinkToFit="0" vertical="center" wrapText="0"/>
    </xf>
    <xf borderId="12" fillId="0" fontId="1" numFmtId="0" xfId="0" applyAlignment="1" applyBorder="1" applyFont="1">
      <alignment horizontal="left" shrinkToFit="0" vertical="center" wrapText="0"/>
    </xf>
    <xf borderId="4" fillId="0" fontId="1" numFmtId="169" xfId="0" applyAlignment="1" applyBorder="1" applyFont="1" applyNumberFormat="1">
      <alignment horizontal="right" readingOrder="0" shrinkToFit="0" vertical="center" wrapText="0"/>
    </xf>
    <xf borderId="4" fillId="0" fontId="8" numFmtId="0" xfId="0" applyAlignment="1" applyBorder="1" applyFont="1">
      <alignment horizontal="right" readingOrder="0" shrinkToFit="0" vertical="center" wrapText="0"/>
    </xf>
    <xf borderId="4" fillId="2" fontId="1" numFmtId="0" xfId="0" applyAlignment="1" applyBorder="1" applyFont="1">
      <alignment horizontal="center" readingOrder="0" shrinkToFit="0" vertical="center" wrapText="0"/>
    </xf>
    <xf borderId="98" fillId="0" fontId="1" numFmtId="0" xfId="0" applyAlignment="1" applyBorder="1" applyFont="1">
      <alignment horizontal="left" shrinkToFit="0" vertical="center" wrapText="0"/>
    </xf>
    <xf borderId="99" fillId="0" fontId="3" numFmtId="0" xfId="0" applyBorder="1" applyFont="1"/>
    <xf borderId="100" fillId="0" fontId="1" numFmtId="0" xfId="0" applyAlignment="1" applyBorder="1" applyFont="1">
      <alignment horizontal="left" shrinkToFit="0" vertical="center" wrapText="0"/>
    </xf>
    <xf borderId="11" fillId="2" fontId="1" numFmtId="0" xfId="0" applyAlignment="1" applyBorder="1" applyFont="1">
      <alignment horizontal="center" readingOrder="0" shrinkToFit="0" vertical="center" wrapText="0"/>
    </xf>
    <xf borderId="4" fillId="0" fontId="8" numFmtId="0" xfId="0" applyAlignment="1" applyBorder="1" applyFont="1">
      <alignment horizontal="left" readingOrder="0" shrinkToFit="0" vertical="center" wrapText="0"/>
    </xf>
    <xf borderId="101" fillId="0" fontId="1" numFmtId="0" xfId="0" applyAlignment="1" applyBorder="1" applyFont="1">
      <alignment horizontal="left" shrinkToFit="0" vertical="center" wrapText="0"/>
    </xf>
    <xf borderId="102" fillId="0" fontId="3" numFmtId="0" xfId="0" applyBorder="1" applyFont="1"/>
    <xf borderId="103" fillId="0" fontId="1" numFmtId="0" xfId="0" applyAlignment="1" applyBorder="1" applyFont="1">
      <alignment horizontal="left" shrinkToFit="0" vertical="center" wrapText="0"/>
    </xf>
    <xf borderId="104" fillId="0" fontId="3" numFmtId="0" xfId="0" applyBorder="1" applyFont="1"/>
    <xf borderId="4" fillId="0" fontId="1" numFmtId="168" xfId="0" applyAlignment="1" applyBorder="1" applyFont="1" applyNumberFormat="1">
      <alignment horizontal="left" readingOrder="0" shrinkToFit="0" vertical="center" wrapText="0"/>
    </xf>
    <xf borderId="0" fillId="0" fontId="12" numFmtId="0" xfId="0" applyAlignment="1" applyFont="1">
      <alignment vertical="bottom"/>
    </xf>
    <xf borderId="81" fillId="0" fontId="1" numFmtId="170" xfId="0" applyAlignment="1" applyBorder="1" applyFont="1" applyNumberFormat="1">
      <alignment horizontal="right" readingOrder="0" shrinkToFit="0" vertical="center" wrapText="0"/>
    </xf>
    <xf borderId="4" fillId="0" fontId="1" numFmtId="170" xfId="0" applyAlignment="1" applyBorder="1" applyFont="1" applyNumberFormat="1">
      <alignment horizontal="right" readingOrder="0" shrinkToFit="0" vertical="center" wrapText="0"/>
    </xf>
    <xf borderId="85" fillId="0" fontId="1" numFmtId="170" xfId="0" applyAlignment="1" applyBorder="1" applyFont="1" applyNumberFormat="1">
      <alignment horizontal="right" readingOrder="0" shrinkToFit="0" vertical="center" wrapText="0"/>
    </xf>
    <xf borderId="105" fillId="0" fontId="3" numFmtId="0" xfId="0" applyBorder="1" applyFont="1"/>
    <xf borderId="4" fillId="0" fontId="1" numFmtId="168" xfId="0" applyAlignment="1" applyBorder="1" applyFont="1" applyNumberFormat="1">
      <alignment horizontal="left" readingOrder="0" shrinkToFit="0" vertical="center" wrapText="0"/>
    </xf>
    <xf borderId="4" fillId="2" fontId="1" numFmtId="0" xfId="0" applyAlignment="1" applyBorder="1" applyFont="1">
      <alignment horizontal="left" shrinkToFit="0" vertical="center" wrapText="0"/>
    </xf>
    <xf borderId="69" fillId="0" fontId="3" numFmtId="0" xfId="0" applyBorder="1" applyFont="1"/>
    <xf borderId="64" fillId="0" fontId="1" numFmtId="0" xfId="0" applyAlignment="1" applyBorder="1" applyFont="1">
      <alignment horizontal="center" readingOrder="0" shrinkToFit="0" vertical="center" wrapText="0"/>
    </xf>
    <xf borderId="81" fillId="0" fontId="1" numFmtId="0" xfId="0" applyAlignment="1" applyBorder="1" applyFont="1">
      <alignment horizontal="center" readingOrder="0" shrinkToFit="0" vertical="center" wrapText="0"/>
    </xf>
    <xf borderId="7" fillId="0" fontId="1" numFmtId="0" xfId="0" applyAlignment="1" applyBorder="1" applyFont="1">
      <alignment horizontal="left" readingOrder="0" shrinkToFit="0" vertical="center" wrapText="0"/>
    </xf>
    <xf borderId="85" fillId="0" fontId="1" numFmtId="0" xfId="0" applyAlignment="1" applyBorder="1" applyFont="1">
      <alignment horizontal="center" readingOrder="0" shrinkToFit="0" vertical="center" wrapText="0"/>
    </xf>
    <xf borderId="106" fillId="0" fontId="3" numFmtId="0" xfId="0" applyBorder="1" applyFont="1"/>
    <xf borderId="107" fillId="2" fontId="1" numFmtId="0" xfId="0" applyAlignment="1" applyBorder="1" applyFont="1">
      <alignment horizontal="center" readingOrder="0" shrinkToFit="0" vertical="center" wrapText="0"/>
    </xf>
    <xf borderId="81" fillId="3" fontId="1" numFmtId="0" xfId="0" applyAlignment="1" applyBorder="1" applyFont="1">
      <alignment horizontal="center" readingOrder="0" shrinkToFit="0" vertical="center" wrapText="0"/>
    </xf>
    <xf borderId="107" fillId="3" fontId="1" numFmtId="0" xfId="0" applyAlignment="1" applyBorder="1" applyFont="1">
      <alignment horizontal="center" readingOrder="0" shrinkToFit="0" vertical="center" wrapText="0"/>
    </xf>
    <xf borderId="4" fillId="0" fontId="17" numFmtId="0" xfId="0" applyAlignment="1" applyBorder="1" applyFont="1">
      <alignment horizontal="left" readingOrder="0" shrinkToFit="0" vertical="center" wrapText="0"/>
    </xf>
    <xf borderId="0" fillId="0" fontId="18" numFmtId="0" xfId="0" applyAlignment="1" applyFont="1">
      <alignment horizontal="center" readingOrder="0" shrinkToFit="0" vertical="bottom" wrapText="0"/>
    </xf>
    <xf borderId="4" fillId="0" fontId="1" numFmtId="170" xfId="0" applyAlignment="1" applyBorder="1" applyFont="1" applyNumberFormat="1">
      <alignment horizontal="right" readingOrder="0" shrinkToFit="0" vertical="center" wrapText="0"/>
    </xf>
    <xf borderId="4" fillId="2" fontId="1" numFmtId="49" xfId="0" applyAlignment="1" applyBorder="1" applyFont="1" applyNumberFormat="1">
      <alignment horizontal="center" readingOrder="0" shrinkToFit="0" vertical="center" wrapText="0"/>
    </xf>
    <xf borderId="51" fillId="2" fontId="1" numFmtId="0" xfId="0" applyAlignment="1" applyBorder="1" applyFont="1">
      <alignment horizontal="left" shrinkToFit="0" vertical="center" wrapText="0"/>
    </xf>
    <xf borderId="85" fillId="0" fontId="3" numFmtId="0" xfId="0" applyBorder="1" applyFont="1"/>
    <xf borderId="0" fillId="0" fontId="5" numFmtId="0" xfId="0" applyAlignment="1" applyFont="1">
      <alignment horizontal="left" readingOrder="0" shrinkToFit="0" vertical="center" wrapText="0"/>
    </xf>
    <xf borderId="0" fillId="0" fontId="8" numFmtId="0" xfId="0" applyAlignment="1" applyFont="1">
      <alignment horizontal="right" readingOrder="0" shrinkToFit="0" vertical="center" wrapText="0"/>
    </xf>
    <xf borderId="0" fillId="0" fontId="11" numFmtId="0" xfId="0" applyAlignment="1" applyFont="1">
      <alignment horizontal="left" readingOrder="0" shrinkToFit="0" vertical="center" wrapText="0"/>
    </xf>
    <xf borderId="4" fillId="0" fontId="1" numFmtId="171" xfId="0" applyAlignment="1" applyBorder="1" applyFont="1" applyNumberFormat="1">
      <alignment horizontal="center" readingOrder="0" shrinkToFit="0" vertical="center" wrapText="0"/>
    </xf>
    <xf borderId="81" fillId="2" fontId="1" numFmtId="0" xfId="0" applyAlignment="1" applyBorder="1" applyFont="1">
      <alignment horizontal="center" readingOrder="0" shrinkToFit="0" vertical="center" wrapText="0"/>
    </xf>
    <xf borderId="22" fillId="2" fontId="1" numFmtId="0" xfId="0" applyAlignment="1" applyBorder="1" applyFont="1">
      <alignment horizontal="center" readingOrder="0" shrinkToFit="0" vertical="center" wrapText="0"/>
    </xf>
    <xf borderId="23" fillId="2" fontId="1" numFmtId="0" xfId="0" applyAlignment="1" applyBorder="1" applyFont="1">
      <alignment horizontal="center" readingOrder="0" shrinkToFit="0" vertical="center" wrapText="0"/>
    </xf>
    <xf borderId="24" fillId="2" fontId="1" numFmtId="0" xfId="0" applyAlignment="1" applyBorder="1" applyFont="1">
      <alignment horizontal="left" readingOrder="0" shrinkToFit="0" vertical="center" wrapText="0"/>
    </xf>
    <xf borderId="108" fillId="0" fontId="3" numFmtId="0" xfId="0" applyBorder="1" applyFont="1"/>
    <xf borderId="75" fillId="0" fontId="1" numFmtId="0" xfId="0" applyAlignment="1" applyBorder="1" applyFont="1">
      <alignment horizontal="center" readingOrder="0" shrinkToFit="0" vertical="center" wrapText="0"/>
    </xf>
    <xf borderId="24" fillId="0" fontId="6" numFmtId="0" xfId="0" applyAlignment="1" applyBorder="1" applyFont="1">
      <alignment horizontal="left" readingOrder="0" shrinkToFit="0" vertical="center" wrapText="0"/>
    </xf>
    <xf borderId="27" fillId="2" fontId="1" numFmtId="0" xfId="0" applyAlignment="1" applyBorder="1" applyFont="1">
      <alignment horizontal="center" readingOrder="0" shrinkToFit="0" vertical="center" wrapText="0"/>
    </xf>
    <xf borderId="28" fillId="2" fontId="1" numFmtId="0" xfId="0" applyAlignment="1" applyBorder="1" applyFont="1">
      <alignment horizontal="center" readingOrder="0" shrinkToFit="0" vertical="center" wrapText="0"/>
    </xf>
    <xf borderId="109" fillId="0" fontId="3" numFmtId="0" xfId="0" applyBorder="1" applyFont="1"/>
    <xf borderId="61" fillId="0" fontId="1" numFmtId="0" xfId="0" applyAlignment="1" applyBorder="1" applyFont="1">
      <alignment horizontal="center" readingOrder="0" shrinkToFit="0" vertical="center" wrapText="0"/>
    </xf>
    <xf borderId="29" fillId="0" fontId="6" numFmtId="0" xfId="0" applyAlignment="1" applyBorder="1" applyFont="1">
      <alignment horizontal="left" readingOrder="0" shrinkToFit="0" vertical="center" wrapText="0"/>
    </xf>
    <xf borderId="38" fillId="0" fontId="8" numFmtId="0" xfId="0" applyAlignment="1" applyBorder="1" applyFont="1">
      <alignment horizontal="right" readingOrder="0" shrinkToFit="0" vertical="center" wrapText="0"/>
    </xf>
    <xf borderId="38" fillId="0" fontId="1" numFmtId="0" xfId="0" applyAlignment="1" applyBorder="1" applyFont="1">
      <alignment horizontal="center" readingOrder="0" shrinkToFit="0" vertical="center" wrapText="0"/>
    </xf>
    <xf borderId="110" fillId="0" fontId="1" numFmtId="0" xfId="0" applyAlignment="1" applyBorder="1" applyFont="1">
      <alignment horizontal="center" readingOrder="0" shrinkToFit="0" vertical="center" wrapText="0"/>
    </xf>
    <xf borderId="111" fillId="2" fontId="1" numFmtId="0" xfId="0" applyAlignment="1" applyBorder="1" applyFont="1">
      <alignment horizontal="center" readingOrder="0" shrinkToFit="0" vertical="center" wrapText="0"/>
    </xf>
    <xf borderId="87" fillId="0" fontId="6" numFmtId="0" xfId="0" applyAlignment="1" applyBorder="1" applyFont="1">
      <alignment horizontal="left" readingOrder="0" shrinkToFit="0" vertical="center" wrapText="0"/>
    </xf>
    <xf borderId="78" fillId="0" fontId="1" numFmtId="0" xfId="0" applyAlignment="1" applyBorder="1" applyFont="1">
      <alignment horizontal="center" readingOrder="0" shrinkToFit="0" vertical="center" wrapText="0"/>
    </xf>
    <xf borderId="34" fillId="0" fontId="6" numFmtId="0" xfId="0" applyAlignment="1" applyBorder="1" applyFont="1">
      <alignment horizontal="left" readingOrder="0" shrinkToFit="0" vertical="center" wrapText="0"/>
    </xf>
    <xf borderId="33" fillId="2" fontId="1" numFmtId="0" xfId="0" applyAlignment="1" applyBorder="1" applyFont="1">
      <alignment horizontal="center" readingOrder="0" shrinkToFit="0" vertical="center" wrapText="0"/>
    </xf>
    <xf borderId="112" fillId="0" fontId="3" numFmtId="0" xfId="0" applyBorder="1" applyFont="1"/>
    <xf borderId="64" fillId="2" fontId="1" numFmtId="0" xfId="0" applyAlignment="1" applyBorder="1" applyFont="1">
      <alignment horizontal="center" readingOrder="0" shrinkToFit="0" vertical="center" wrapText="0"/>
    </xf>
    <xf borderId="0" fillId="0" fontId="5" numFmtId="0" xfId="0" applyAlignment="1" applyFont="1">
      <alignment horizontal="right" readingOrder="0" shrinkToFit="0" vertical="center" wrapText="0"/>
    </xf>
    <xf borderId="4" fillId="0" fontId="1" numFmtId="0" xfId="0" applyAlignment="1" applyBorder="1" applyFont="1">
      <alignment horizontal="right" readingOrder="0" shrinkToFit="0" vertical="center" wrapText="0"/>
    </xf>
    <xf borderId="4" fillId="0" fontId="1" numFmtId="0" xfId="0" applyAlignment="1" applyBorder="1" applyFont="1">
      <alignment horizontal="right" shrinkToFit="0" vertical="center" wrapText="0"/>
    </xf>
    <xf borderId="1" fillId="0" fontId="5" numFmtId="0" xfId="0" applyAlignment="1" applyBorder="1" applyFont="1">
      <alignment horizontal="right" readingOrder="0" shrinkToFit="0" vertical="bottom" wrapText="0"/>
    </xf>
    <xf borderId="62" fillId="2" fontId="6" numFmtId="0" xfId="0" applyAlignment="1" applyBorder="1" applyFont="1">
      <alignment horizontal="center" readingOrder="0" shrinkToFit="0" vertical="center" wrapText="0"/>
    </xf>
    <xf borderId="63" fillId="2" fontId="6" numFmtId="0" xfId="0" applyAlignment="1" applyBorder="1" applyFont="1">
      <alignment horizontal="center" readingOrder="0" shrinkToFit="0" vertical="center" wrapText="0"/>
    </xf>
    <xf borderId="64" fillId="2" fontId="6" numFmtId="0" xfId="0" applyAlignment="1" applyBorder="1" applyFont="1">
      <alignment horizontal="center" readingOrder="0" shrinkToFit="0" vertical="center" wrapText="0"/>
    </xf>
    <xf borderId="80" fillId="2" fontId="6" numFmtId="0" xfId="0" applyAlignment="1" applyBorder="1" applyFont="1">
      <alignment horizontal="center" readingOrder="0" shrinkToFit="0" vertical="center" wrapText="0"/>
    </xf>
    <xf borderId="1" fillId="0" fontId="8" numFmtId="0" xfId="0" applyAlignment="1" applyBorder="1" applyFont="1">
      <alignment horizontal="right" readingOrder="0" shrinkToFit="0" vertical="center" wrapText="0"/>
    </xf>
    <xf borderId="96" fillId="0" fontId="8" numFmtId="0" xfId="0" applyAlignment="1" applyBorder="1" applyFont="1">
      <alignment horizontal="center" readingOrder="0" shrinkToFit="0" vertical="center" wrapText="0"/>
    </xf>
    <xf borderId="85" fillId="0" fontId="1" numFmtId="0" xfId="0" applyAlignment="1" applyBorder="1" applyFont="1">
      <alignment horizontal="left" readingOrder="0" shrinkToFit="0" vertical="center" wrapText="0"/>
    </xf>
    <xf borderId="113" fillId="0" fontId="1" numFmtId="0" xfId="0" applyAlignment="1" applyBorder="1" applyFont="1">
      <alignment horizontal="left" readingOrder="0" shrinkToFit="0" vertical="center" wrapText="0"/>
    </xf>
    <xf borderId="114" fillId="0" fontId="3" numFmtId="0" xfId="0" applyBorder="1" applyFont="1"/>
    <xf borderId="47" fillId="0" fontId="1" numFmtId="0" xfId="0" applyAlignment="1" applyBorder="1" applyFont="1">
      <alignment horizontal="center" readingOrder="0" shrinkToFit="0" vertical="center" wrapText="0"/>
    </xf>
    <xf borderId="0" fillId="0" fontId="8" numFmtId="0" xfId="0" applyAlignment="1" applyFont="1">
      <alignment horizontal="left" shrinkToFit="0" vertical="center" wrapText="0"/>
    </xf>
    <xf borderId="0" fillId="0" fontId="5" numFmtId="0" xfId="0" applyAlignment="1" applyFont="1">
      <alignment horizontal="center" readingOrder="0" shrinkToFit="0" vertical="top" wrapText="0"/>
    </xf>
    <xf borderId="56" fillId="0" fontId="8" numFmtId="0" xfId="0" applyAlignment="1" applyBorder="1" applyFont="1">
      <alignment horizontal="center" readingOrder="0" shrinkToFit="0" vertical="center" wrapText="0"/>
    </xf>
    <xf borderId="4" fillId="2" fontId="1" numFmtId="170" xfId="0" applyAlignment="1" applyBorder="1" applyFont="1" applyNumberFormat="1">
      <alignment horizontal="right" readingOrder="0" shrinkToFit="0" vertical="center" wrapText="0"/>
    </xf>
    <xf borderId="51" fillId="0" fontId="1" numFmtId="170" xfId="0" applyAlignment="1" applyBorder="1" applyFont="1" applyNumberFormat="1">
      <alignment horizontal="right" readingOrder="0" shrinkToFit="0" vertical="center" wrapText="0"/>
    </xf>
    <xf borderId="81" fillId="2" fontId="1" numFmtId="172" xfId="0" applyAlignment="1" applyBorder="1" applyFont="1" applyNumberFormat="1">
      <alignment horizontal="right" readingOrder="0" shrinkToFit="0" vertical="center" wrapText="0"/>
    </xf>
    <xf borderId="24" fillId="0" fontId="1" numFmtId="0" xfId="0" applyAlignment="1" applyBorder="1" applyFont="1">
      <alignment horizontal="center" shrinkToFit="0" vertical="center" wrapText="0"/>
    </xf>
    <xf borderId="24" fillId="0" fontId="1" numFmtId="0" xfId="0" applyAlignment="1" applyBorder="1" applyFont="1">
      <alignment horizontal="right" readingOrder="0" shrinkToFit="0" vertical="center" wrapText="0"/>
    </xf>
    <xf borderId="24" fillId="2" fontId="1" numFmtId="169" xfId="0" applyAlignment="1" applyBorder="1" applyFont="1" applyNumberFormat="1">
      <alignment horizontal="right" readingOrder="0" shrinkToFit="0" vertical="center" wrapText="0"/>
    </xf>
    <xf borderId="29" fillId="0" fontId="1" numFmtId="0" xfId="0" applyAlignment="1" applyBorder="1" applyFont="1">
      <alignment horizontal="center" shrinkToFit="0" vertical="center" wrapText="0"/>
    </xf>
    <xf borderId="29" fillId="0" fontId="1" numFmtId="0" xfId="0" applyAlignment="1" applyBorder="1" applyFont="1">
      <alignment horizontal="right" readingOrder="0" shrinkToFit="0" vertical="center" wrapText="0"/>
    </xf>
    <xf borderId="29" fillId="2" fontId="1" numFmtId="169" xfId="0" applyAlignment="1" applyBorder="1" applyFont="1" applyNumberFormat="1">
      <alignment horizontal="right" readingOrder="0" shrinkToFit="0" vertical="center" wrapText="0"/>
    </xf>
    <xf borderId="34" fillId="0" fontId="1" numFmtId="0" xfId="0" applyAlignment="1" applyBorder="1" applyFont="1">
      <alignment horizontal="center" shrinkToFit="0" vertical="center" wrapText="0"/>
    </xf>
    <xf borderId="34" fillId="0" fontId="1" numFmtId="0" xfId="0" applyAlignment="1" applyBorder="1" applyFont="1">
      <alignment horizontal="right" readingOrder="0" shrinkToFit="0" vertical="center" wrapText="0"/>
    </xf>
    <xf borderId="34" fillId="2" fontId="1" numFmtId="169" xfId="0" applyAlignment="1" applyBorder="1" applyFont="1" applyNumberFormat="1">
      <alignment horizontal="right" readingOrder="0" shrinkToFit="0" vertical="center" wrapText="0"/>
    </xf>
    <xf borderId="4" fillId="2" fontId="1" numFmtId="169" xfId="0" applyAlignment="1" applyBorder="1" applyFont="1" applyNumberFormat="1">
      <alignment horizontal="right" readingOrder="0" shrinkToFit="0" vertical="center" wrapText="0"/>
    </xf>
    <xf borderId="0" fillId="2" fontId="5" numFmtId="0" xfId="0" applyAlignment="1" applyFont="1">
      <alignment horizontal="left" readingOrder="0" shrinkToFit="0" vertical="bottom" wrapText="0"/>
    </xf>
    <xf borderId="0" fillId="2" fontId="1" numFmtId="0" xfId="0" applyAlignment="1" applyFont="1">
      <alignment horizontal="left" shrinkToFit="0" vertical="center" wrapText="0"/>
    </xf>
    <xf borderId="62" fillId="2" fontId="1" numFmtId="0" xfId="0" applyAlignment="1" applyBorder="1" applyFont="1">
      <alignment horizontal="left" shrinkToFit="0" vertical="center" wrapText="0"/>
    </xf>
    <xf borderId="115" fillId="2" fontId="1" numFmtId="0" xfId="0" applyAlignment="1" applyBorder="1" applyFont="1">
      <alignment horizontal="left" shrinkToFit="0" vertical="center" wrapText="0"/>
    </xf>
    <xf borderId="10" fillId="2" fontId="1" numFmtId="0" xfId="0" applyAlignment="1" applyBorder="1" applyFont="1">
      <alignment horizontal="left" shrinkToFit="0" vertical="center" wrapText="0"/>
    </xf>
    <xf borderId="11" fillId="2" fontId="1" numFmtId="0" xfId="0" applyAlignment="1" applyBorder="1" applyFont="1">
      <alignment horizontal="left" shrinkToFit="0" vertical="center" wrapText="0"/>
    </xf>
    <xf borderId="0" fillId="2" fontId="1" numFmtId="170" xfId="0" applyAlignment="1" applyFont="1" applyNumberFormat="1">
      <alignment horizontal="left" readingOrder="0" shrinkToFit="0" vertical="center" wrapText="0"/>
    </xf>
    <xf borderId="0" fillId="2" fontId="1" numFmtId="0" xfId="0" applyAlignment="1" applyFont="1">
      <alignment horizontal="left" readingOrder="0" shrinkToFit="0" vertical="center" wrapText="0"/>
    </xf>
    <xf borderId="0" fillId="2" fontId="1" numFmtId="170" xfId="0" applyAlignment="1" applyFont="1" applyNumberFormat="1">
      <alignment horizontal="left" shrinkToFit="0" vertical="center" wrapText="0"/>
    </xf>
    <xf borderId="10" fillId="2" fontId="1" numFmtId="0" xfId="0" applyAlignment="1" applyBorder="1" applyFont="1">
      <alignment horizontal="left" readingOrder="0" shrinkToFit="0" vertical="center" wrapText="0"/>
    </xf>
    <xf borderId="0" fillId="4" fontId="1" numFmtId="0" xfId="0" applyAlignment="1" applyFill="1" applyFont="1">
      <alignment horizontal="left" shrinkToFit="0" vertical="center" wrapText="0"/>
    </xf>
    <xf borderId="0" fillId="4" fontId="19" numFmtId="0" xfId="0" applyAlignment="1" applyFont="1">
      <alignment horizontal="left" readingOrder="0" shrinkToFit="0" vertical="bottom" wrapText="0"/>
    </xf>
    <xf borderId="0" fillId="4" fontId="20" numFmtId="0" xfId="0" applyAlignment="1" applyFont="1">
      <alignment horizontal="right" readingOrder="0" shrinkToFit="0" vertical="bottom" wrapText="0"/>
    </xf>
    <xf borderId="51" fillId="5" fontId="8" numFmtId="0" xfId="0" applyAlignment="1" applyBorder="1" applyFill="1" applyFont="1">
      <alignment horizontal="left" readingOrder="0" shrinkToFit="0" vertical="center" wrapText="0"/>
    </xf>
    <xf borderId="93" fillId="6" fontId="8" numFmtId="0" xfId="0" applyAlignment="1" applyBorder="1" applyFill="1" applyFont="1">
      <alignment horizontal="left" readingOrder="0" shrinkToFit="0" vertical="center" wrapText="0"/>
    </xf>
    <xf borderId="116" fillId="6" fontId="8" numFmtId="0" xfId="0" applyAlignment="1" applyBorder="1" applyFont="1">
      <alignment horizontal="left" readingOrder="0" shrinkToFit="0" vertical="center" wrapText="0"/>
    </xf>
    <xf borderId="0" fillId="6" fontId="8" numFmtId="0" xfId="0" applyAlignment="1" applyFont="1">
      <alignment horizontal="left" readingOrder="0" shrinkToFit="0" vertical="center" wrapText="0"/>
    </xf>
    <xf borderId="93" fillId="2" fontId="21" numFmtId="0" xfId="0" applyAlignment="1" applyBorder="1" applyFont="1">
      <alignment shrinkToFit="0" wrapText="0"/>
    </xf>
    <xf borderId="116" fillId="2" fontId="1" numFmtId="0" xfId="0" applyAlignment="1" applyBorder="1" applyFont="1">
      <alignment horizontal="left" shrinkToFit="0" vertical="center" wrapText="0"/>
    </xf>
    <xf borderId="93" fillId="2" fontId="1" numFmtId="0" xfId="0" applyAlignment="1" applyBorder="1" applyFont="1">
      <alignment horizontal="left" readingOrder="0" shrinkToFit="0" vertical="center" wrapText="0"/>
    </xf>
    <xf borderId="116" fillId="2" fontId="1" numFmtId="0" xfId="0" applyAlignment="1" applyBorder="1" applyFont="1">
      <alignment horizontal="left" readingOrder="0" shrinkToFit="0" vertical="center" wrapText="0"/>
    </xf>
    <xf borderId="93" fillId="2" fontId="21" numFmtId="0" xfId="0" applyBorder="1" applyFont="1"/>
    <xf borderId="93" fillId="2" fontId="21" numFmtId="0" xfId="0" applyAlignment="1" applyBorder="1" applyFont="1">
      <alignment shrinkToFit="0" wrapText="0"/>
    </xf>
    <xf borderId="0" fillId="6" fontId="1" numFmtId="0" xfId="0" applyAlignment="1" applyFont="1">
      <alignment horizontal="left" shrinkToFit="0" vertical="center" wrapText="0"/>
    </xf>
    <xf borderId="85" fillId="2" fontId="21" numFmtId="0" xfId="0" applyAlignment="1" applyBorder="1" applyFont="1">
      <alignment shrinkToFit="0" wrapText="0"/>
    </xf>
    <xf borderId="86" fillId="2" fontId="1" numFmtId="0" xfId="0" applyAlignment="1" applyBorder="1" applyFont="1">
      <alignment horizontal="left" shrinkToFit="0" vertical="center" wrapText="0"/>
    </xf>
    <xf borderId="85" fillId="2" fontId="1" numFmtId="0" xfId="0" applyAlignment="1" applyBorder="1" applyFont="1">
      <alignment horizontal="left" readingOrder="0" shrinkToFit="0" vertical="center" wrapText="0"/>
    </xf>
    <xf borderId="105" fillId="2" fontId="1" numFmtId="0" xfId="0" applyAlignment="1" applyBorder="1" applyFont="1">
      <alignment horizontal="left" readingOrder="0" shrinkToFit="0" vertical="center" wrapText="0"/>
    </xf>
    <xf borderId="86" fillId="2" fontId="1" numFmtId="0" xfId="0" applyAlignment="1" applyBorder="1" applyFont="1">
      <alignment horizontal="left" readingOrder="0" shrinkToFit="0" vertical="center" wrapText="0"/>
    </xf>
    <xf borderId="105" fillId="6" fontId="1" numFmtId="0" xfId="0" applyAlignment="1" applyBorder="1" applyFont="1">
      <alignment horizontal="left" shrinkToFit="0" vertical="center" wrapText="0"/>
    </xf>
    <xf borderId="86" fillId="6" fontId="1" numFmtId="0" xfId="0" applyAlignment="1" applyBorder="1" applyFont="1">
      <alignment horizontal="left" shrinkToFit="0" vertical="center" wrapText="0"/>
    </xf>
    <xf borderId="2" fillId="5" fontId="8" numFmtId="0" xfId="0" applyAlignment="1" applyBorder="1" applyFont="1">
      <alignment horizontal="left" readingOrder="0" shrinkToFit="0" vertical="center" wrapText="0"/>
    </xf>
    <xf borderId="3" fillId="2" fontId="1" numFmtId="0" xfId="0" applyAlignment="1" applyBorder="1" applyFont="1">
      <alignment horizontal="left" readingOrder="0" shrinkToFit="0" vertical="center" wrapText="0"/>
    </xf>
    <xf borderId="37" fillId="2" fontId="1" numFmtId="0" xfId="0" applyAlignment="1" applyBorder="1" applyFont="1">
      <alignment horizontal="left" readingOrder="0" shrinkToFit="0" vertical="center" wrapText="0"/>
    </xf>
    <xf borderId="93" fillId="2" fontId="1" numFmtId="0" xfId="0" applyAlignment="1" applyBorder="1" applyFont="1">
      <alignment horizontal="left" shrinkToFit="0" vertical="center" wrapText="0"/>
    </xf>
    <xf borderId="6" fillId="2" fontId="1" numFmtId="0" xfId="0" applyAlignment="1" applyBorder="1" applyFont="1">
      <alignment horizontal="left" readingOrder="0" shrinkToFit="0" vertical="center" wrapText="0"/>
    </xf>
    <xf borderId="74" fillId="2" fontId="1" numFmtId="0" xfId="0" applyAlignment="1" applyBorder="1" applyFont="1">
      <alignment horizontal="left" shrinkToFit="0" vertical="center" wrapText="0"/>
    </xf>
    <xf borderId="117" fillId="0" fontId="3" numFmtId="0" xfId="0" applyBorder="1" applyFont="1"/>
    <xf borderId="118" fillId="2" fontId="1" numFmtId="49" xfId="0" applyAlignment="1" applyBorder="1" applyFont="1" applyNumberFormat="1">
      <alignment horizontal="left" shrinkToFit="0" vertical="center" wrapText="0"/>
    </xf>
    <xf borderId="56" fillId="0" fontId="11" numFmtId="0" xfId="0" applyAlignment="1" applyBorder="1" applyFont="1">
      <alignment horizontal="center" readingOrder="0" shrinkToFit="0" vertical="bottom" wrapText="0"/>
    </xf>
    <xf borderId="6" fillId="2" fontId="1" numFmtId="0" xfId="0" applyAlignment="1" applyBorder="1" applyFont="1">
      <alignment horizontal="left" shrinkToFit="0" vertical="center" wrapText="0"/>
    </xf>
    <xf borderId="77" fillId="2" fontId="1" numFmtId="0" xfId="0" applyAlignment="1" applyBorder="1" applyFont="1">
      <alignment horizontal="left" shrinkToFit="0" vertical="center" wrapText="0"/>
    </xf>
    <xf borderId="0" fillId="0" fontId="8" numFmtId="0" xfId="0" applyAlignment="1" applyFont="1">
      <alignment horizontal="right" shrinkToFit="0" vertical="center" wrapText="0"/>
    </xf>
    <xf borderId="6" fillId="0" fontId="1" numFmtId="0" xfId="0" applyAlignment="1" applyBorder="1" applyFont="1">
      <alignment horizontal="left" shrinkToFit="0" vertical="center" wrapText="0"/>
    </xf>
    <xf borderId="4" fillId="0" fontId="1" numFmtId="0" xfId="0" applyAlignment="1" applyBorder="1" applyFont="1">
      <alignment horizontal="left" shrinkToFit="0" vertical="center" wrapText="0"/>
    </xf>
    <xf borderId="56" fillId="0" fontId="5" numFmtId="0" xfId="0" applyAlignment="1" applyBorder="1" applyFont="1">
      <alignment horizontal="right" readingOrder="0" shrinkToFit="0" vertical="center" wrapText="0"/>
    </xf>
    <xf borderId="119" fillId="0" fontId="1" numFmtId="0" xfId="0" applyAlignment="1" applyBorder="1" applyFont="1">
      <alignment horizontal="left" shrinkToFit="0" vertical="center" wrapText="0"/>
    </xf>
    <xf borderId="120" fillId="0" fontId="1" numFmtId="0" xfId="0" applyAlignment="1" applyBorder="1" applyFont="1">
      <alignment horizontal="left" shrinkToFit="0" vertical="center" wrapText="0"/>
    </xf>
    <xf borderId="51" fillId="0" fontId="1" numFmtId="0" xfId="0" applyAlignment="1" applyBorder="1" applyFont="1">
      <alignment horizontal="left" shrinkToFit="0" vertical="center" wrapText="0"/>
    </xf>
    <xf borderId="93" fillId="0" fontId="3" numFmtId="0" xfId="0" applyBorder="1" applyFont="1"/>
    <xf borderId="116" fillId="0" fontId="3" numFmtId="0" xfId="0" applyBorder="1" applyFont="1"/>
    <xf borderId="0" fillId="0" fontId="5" numFmtId="0" xfId="0" applyAlignment="1" applyFont="1">
      <alignment horizontal="center" readingOrder="0" shrinkToFit="0" vertical="center" wrapText="0"/>
    </xf>
    <xf borderId="121" fillId="0" fontId="1" numFmtId="0" xfId="0" applyAlignment="1" applyBorder="1" applyFont="1">
      <alignment horizontal="left" shrinkToFit="0" vertical="center" wrapText="0"/>
    </xf>
    <xf borderId="122" fillId="0" fontId="3" numFmtId="0" xfId="0" applyBorder="1" applyFont="1"/>
    <xf borderId="123" fillId="0" fontId="3" numFmtId="0" xfId="0" applyBorder="1" applyFont="1"/>
    <xf borderId="85" fillId="0" fontId="1" numFmtId="0" xfId="0" applyAlignment="1" applyBorder="1" applyFont="1">
      <alignment horizontal="left" shrinkToFit="0" vertical="center" wrapText="0"/>
    </xf>
    <xf borderId="56" fillId="0" fontId="1" numFmtId="0" xfId="0" applyAlignment="1" applyBorder="1" applyFont="1">
      <alignment horizontal="left" readingOrder="0" shrinkToFit="0" vertical="center" wrapText="0"/>
    </xf>
    <xf borderId="103" fillId="0" fontId="2" numFmtId="0" xfId="0" applyAlignment="1" applyBorder="1" applyFont="1">
      <alignment horizontal="left" readingOrder="0" shrinkToFit="0" vertical="bottom" wrapText="0"/>
    </xf>
    <xf borderId="23" fillId="0" fontId="1" numFmtId="0" xfId="0" applyAlignment="1" applyBorder="1" applyFont="1">
      <alignment horizontal="left" readingOrder="0" shrinkToFit="0" vertical="center" wrapText="0"/>
    </xf>
    <xf borderId="124" fillId="0" fontId="1" numFmtId="0" xfId="0" applyAlignment="1" applyBorder="1" applyFont="1">
      <alignment horizontal="left" shrinkToFit="0" vertical="center" wrapText="0"/>
    </xf>
    <xf borderId="125" fillId="0" fontId="1" numFmtId="0" xfId="0" applyAlignment="1" applyBorder="1" applyFont="1">
      <alignment horizontal="left" shrinkToFit="0" vertical="center" wrapText="0"/>
    </xf>
    <xf borderId="126" fillId="0" fontId="1" numFmtId="0" xfId="0" applyAlignment="1" applyBorder="1" applyFont="1">
      <alignment horizontal="left" shrinkToFit="0" vertical="center" wrapText="0"/>
    </xf>
    <xf borderId="28" fillId="0" fontId="1" numFmtId="0" xfId="0" applyAlignment="1" applyBorder="1" applyFont="1">
      <alignment horizontal="left" shrinkToFit="0" vertical="center" wrapText="0"/>
    </xf>
    <xf borderId="127" fillId="0" fontId="1" numFmtId="0" xfId="0" applyAlignment="1" applyBorder="1" applyFont="1">
      <alignment horizontal="left" shrinkToFit="0" vertical="center" wrapText="0"/>
    </xf>
    <xf borderId="128" fillId="0" fontId="1" numFmtId="0" xfId="0" applyAlignment="1" applyBorder="1" applyFont="1">
      <alignment horizontal="left" shrinkToFit="0" vertical="center" wrapText="0"/>
    </xf>
    <xf borderId="129" fillId="0" fontId="1" numFmtId="0" xfId="0" applyAlignment="1" applyBorder="1" applyFont="1">
      <alignment horizontal="left" shrinkToFit="0" vertical="center" wrapText="0"/>
    </xf>
    <xf borderId="128" fillId="0" fontId="1" numFmtId="0" xfId="0" applyAlignment="1" applyBorder="1" applyFont="1">
      <alignment horizontal="left" readingOrder="0" shrinkToFit="0" vertical="center" wrapText="0"/>
    </xf>
    <xf borderId="55" fillId="0" fontId="1" numFmtId="0" xfId="0" applyAlignment="1" applyBorder="1" applyFont="1">
      <alignment horizontal="left" shrinkToFit="0" vertical="center" wrapText="0"/>
    </xf>
    <xf borderId="57" fillId="0" fontId="1" numFmtId="0" xfId="0" applyAlignment="1" applyBorder="1" applyFont="1">
      <alignment horizontal="left" shrinkToFit="0" vertical="center" wrapText="0"/>
    </xf>
    <xf borderId="58" fillId="0" fontId="1" numFmtId="0" xfId="0" applyAlignment="1" applyBorder="1" applyFont="1">
      <alignment horizontal="left" shrinkToFit="0" vertical="center" wrapText="0"/>
    </xf>
    <xf borderId="130" fillId="0" fontId="1" numFmtId="0" xfId="0" applyAlignment="1" applyBorder="1" applyFont="1">
      <alignment horizontal="left" shrinkToFit="0" vertical="center" wrapText="0"/>
    </xf>
    <xf borderId="131" fillId="0" fontId="1" numFmtId="0" xfId="0" applyAlignment="1" applyBorder="1" applyFont="1">
      <alignment horizontal="left" shrinkToFit="0" vertical="center" wrapText="0"/>
    </xf>
    <xf borderId="132" fillId="0" fontId="1" numFmtId="0" xfId="0" applyAlignment="1" applyBorder="1" applyFont="1">
      <alignment horizontal="left" shrinkToFit="0" vertical="center" wrapText="0"/>
    </xf>
    <xf borderId="38" fillId="0" fontId="1" numFmtId="0" xfId="0" applyAlignment="1" applyBorder="1" applyFont="1">
      <alignment horizontal="left" shrinkToFit="0" vertical="center" wrapText="0"/>
    </xf>
  </cellXfs>
  <cellStyles count="1">
    <cellStyle xfId="0" name="Normal" builtinId="0"/>
  </cellStyles>
  <dxfs count="19">
    <dxf>
      <font>
        <color rgb="FFCCCCCC"/>
      </font>
      <fill>
        <patternFill patternType="none"/>
      </fill>
      <border/>
    </dxf>
    <dxf>
      <font>
        <color rgb="FF3D85C6"/>
      </font>
      <fill>
        <patternFill patternType="none"/>
      </fill>
      <border/>
    </dxf>
    <dxf>
      <font>
        <b/>
        <color rgb="FF990000"/>
      </font>
      <fill>
        <patternFill patternType="none"/>
      </fill>
      <border/>
    </dxf>
    <dxf>
      <font>
        <color rgb="FFB45F06"/>
      </font>
      <fill>
        <patternFill patternType="none"/>
      </fill>
      <border/>
    </dxf>
    <dxf>
      <font/>
      <fill>
        <patternFill patternType="solid">
          <fgColor rgb="FFD9EAD3"/>
          <bgColor rgb="FFD9EAD3"/>
        </patternFill>
      </fill>
      <border/>
    </dxf>
    <dxf>
      <font/>
      <fill>
        <patternFill patternType="solid">
          <fgColor rgb="FFF4CCCC"/>
          <bgColor rgb="FFF4CCCC"/>
        </patternFill>
      </fill>
      <border/>
    </dxf>
    <dxf>
      <font>
        <color rgb="FFFFFFFF"/>
      </font>
      <fill>
        <patternFill patternType="solid">
          <fgColor rgb="FF980000"/>
          <bgColor rgb="FF980000"/>
        </patternFill>
      </fill>
      <border/>
    </dxf>
    <dxf>
      <font>
        <color rgb="FF1155CC"/>
      </font>
      <fill>
        <patternFill patternType="none"/>
      </fill>
      <border/>
    </dxf>
    <dxf>
      <font>
        <b/>
        <color rgb="FF980000"/>
      </font>
      <fill>
        <patternFill patternType="none"/>
      </fill>
      <border/>
    </dxf>
    <dxf>
      <font>
        <color rgb="FFBF9000"/>
      </font>
      <fill>
        <patternFill patternType="none"/>
      </fill>
      <border/>
    </dxf>
    <dxf>
      <font>
        <color rgb="FF6AA84F"/>
      </font>
      <fill>
        <patternFill patternType="none"/>
      </fill>
      <border/>
    </dxf>
    <dxf>
      <font>
        <color rgb="FFCC4125"/>
      </font>
      <fill>
        <patternFill patternType="none"/>
      </fill>
      <border/>
    </dxf>
    <dxf>
      <font/>
      <fill>
        <patternFill patternType="solid">
          <fgColor rgb="FFE6E6E6"/>
          <bgColor rgb="FFE6E6E6"/>
        </patternFill>
      </fill>
      <border/>
    </dxf>
    <dxf>
      <font>
        <color rgb="FF38761D"/>
      </font>
      <fill>
        <patternFill patternType="none"/>
      </fill>
      <border/>
    </dxf>
    <dxf>
      <font>
        <color rgb="FF990000"/>
      </font>
      <fill>
        <patternFill patternType="none"/>
      </fill>
      <border/>
    </dxf>
    <dxf>
      <font>
        <color rgb="FF000000"/>
      </font>
      <fill>
        <patternFill patternType="none"/>
      </fill>
      <border/>
    </dxf>
    <dxf>
      <font>
        <color rgb="FF999999"/>
      </font>
      <fill>
        <patternFill patternType="none"/>
      </fill>
      <border/>
    </dxf>
    <dxf>
      <font>
        <color rgb="FF3C78D8"/>
      </font>
      <fill>
        <patternFill patternType="none"/>
      </fill>
      <border/>
    </dxf>
    <dxf>
      <font>
        <color rgb="FFA61C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4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5.v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outlinePr summaryBelow="0" summaryRight="0"/>
  </sheetPr>
  <sheetViews>
    <sheetView showGridLines="0" workbookViewId="0"/>
  </sheetViews>
  <sheetFormatPr customHeight="1" defaultColWidth="14.43" defaultRowHeight="15.75" outlineLevelRow="1"/>
  <cols>
    <col customWidth="1" min="1" max="1" width="1.29"/>
    <col customWidth="1" min="2" max="2" width="55.0"/>
    <col customWidth="1" min="3" max="4" width="4.71"/>
    <col customWidth="1" min="5" max="6" width="18.43"/>
    <col customWidth="1" min="7" max="10" width="4.71"/>
    <col customWidth="1" min="11" max="12" width="9.29"/>
    <col customWidth="1" min="13" max="13" width="13.86"/>
    <col customWidth="1" min="14" max="14" width="4.71"/>
    <col customWidth="1" min="15" max="15" width="13.86"/>
    <col customWidth="1" min="16" max="17" width="4.71"/>
    <col customWidth="1" min="18" max="18" width="1.29"/>
  </cols>
  <sheetData>
    <row r="1" ht="36.0" customHeight="1">
      <c r="A1" s="1"/>
      <c r="B1" s="2" t="s">
        <v>0</v>
      </c>
      <c r="C1" s="1"/>
      <c r="D1" s="3" t="s">
        <v>1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"/>
    </row>
    <row r="2" ht="16.5" customHeight="1">
      <c r="A2" s="1"/>
      <c r="B2" s="5" t="s">
        <v>2</v>
      </c>
      <c r="C2" s="1"/>
      <c r="D2" s="6" t="s">
        <v>3</v>
      </c>
      <c r="F2" s="6" t="s">
        <v>4</v>
      </c>
      <c r="G2" s="6" t="s">
        <v>5</v>
      </c>
      <c r="I2" s="6" t="s">
        <v>6</v>
      </c>
      <c r="K2" s="6" t="s">
        <v>7</v>
      </c>
      <c r="L2" s="6" t="s">
        <v>8</v>
      </c>
      <c r="M2" s="6" t="s">
        <v>9</v>
      </c>
      <c r="R2" s="1"/>
    </row>
    <row r="3" ht="16.5" customHeight="1">
      <c r="A3" s="1"/>
      <c r="B3" s="7"/>
      <c r="C3" s="1"/>
      <c r="D3" s="8"/>
      <c r="E3" s="9"/>
      <c r="F3" s="10"/>
      <c r="G3" s="11"/>
      <c r="H3" s="9"/>
      <c r="I3" s="12"/>
      <c r="J3" s="9"/>
      <c r="K3" s="13"/>
      <c r="L3" s="14"/>
      <c r="M3" s="8"/>
      <c r="N3" s="15"/>
      <c r="O3" s="15"/>
      <c r="P3" s="15"/>
      <c r="Q3" s="9"/>
      <c r="R3" s="1"/>
    </row>
    <row r="4" ht="49.5" customHeight="1">
      <c r="A4" s="1"/>
      <c r="B4" s="7"/>
      <c r="C4" s="1"/>
      <c r="D4" s="3" t="s">
        <v>10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1"/>
    </row>
    <row r="5" ht="16.5" customHeight="1">
      <c r="A5" s="1"/>
      <c r="B5" s="7"/>
      <c r="C5" s="1"/>
      <c r="D5" s="6" t="s">
        <v>3</v>
      </c>
      <c r="F5" s="6" t="s">
        <v>11</v>
      </c>
      <c r="H5" s="6" t="s">
        <v>12</v>
      </c>
      <c r="L5" s="6" t="s">
        <v>13</v>
      </c>
      <c r="M5" s="6" t="s">
        <v>14</v>
      </c>
      <c r="N5" s="6" t="s">
        <v>15</v>
      </c>
      <c r="O5" s="6" t="s">
        <v>16</v>
      </c>
      <c r="P5" s="6" t="s">
        <v>17</v>
      </c>
      <c r="Q5" s="6" t="s">
        <v>18</v>
      </c>
      <c r="R5" s="1"/>
    </row>
    <row r="6" ht="16.5" customHeight="1">
      <c r="A6" s="1"/>
      <c r="B6" s="7"/>
      <c r="C6" s="1"/>
      <c r="D6" s="8"/>
      <c r="E6" s="16"/>
      <c r="F6" s="17"/>
      <c r="G6" s="16"/>
      <c r="H6" s="17"/>
      <c r="I6" s="15"/>
      <c r="J6" s="15"/>
      <c r="K6" s="16"/>
      <c r="L6" s="18"/>
      <c r="M6" s="19"/>
      <c r="N6" s="18"/>
      <c r="O6" s="19"/>
      <c r="P6" s="18"/>
      <c r="Q6" s="20"/>
      <c r="R6" s="1"/>
    </row>
    <row r="7" ht="16.5" customHeight="1">
      <c r="A7" s="1"/>
      <c r="B7" s="7"/>
      <c r="C7" s="1"/>
      <c r="D7" s="6" t="s">
        <v>19</v>
      </c>
      <c r="R7" s="1"/>
    </row>
    <row r="8" ht="16.5" customHeight="1">
      <c r="A8" s="1"/>
      <c r="B8" s="7"/>
      <c r="C8" s="1"/>
      <c r="D8" s="21"/>
      <c r="E8" s="22"/>
      <c r="F8" s="22"/>
      <c r="G8" s="22"/>
      <c r="H8" s="22"/>
      <c r="I8" s="22"/>
      <c r="J8" s="23"/>
      <c r="K8" s="24"/>
      <c r="L8" s="22"/>
      <c r="M8" s="22"/>
      <c r="N8" s="22"/>
      <c r="O8" s="22"/>
      <c r="P8" s="22"/>
      <c r="Q8" s="25"/>
      <c r="R8" s="1"/>
    </row>
    <row r="9" ht="16.5" customHeight="1">
      <c r="A9" s="1"/>
      <c r="B9" s="7"/>
      <c r="C9" s="1"/>
      <c r="D9" s="26"/>
      <c r="E9" s="27"/>
      <c r="F9" s="27"/>
      <c r="G9" s="27"/>
      <c r="H9" s="27"/>
      <c r="I9" s="27"/>
      <c r="J9" s="28"/>
      <c r="K9" s="29"/>
      <c r="L9" s="27"/>
      <c r="M9" s="27"/>
      <c r="N9" s="27"/>
      <c r="O9" s="27"/>
      <c r="P9" s="27"/>
      <c r="Q9" s="30"/>
      <c r="R9" s="1"/>
    </row>
    <row r="10" ht="49.5" customHeight="1">
      <c r="A10" s="1"/>
      <c r="B10" s="7"/>
      <c r="C10" s="1"/>
      <c r="D10" s="3" t="s">
        <v>20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1"/>
    </row>
    <row r="11" ht="16.5" customHeight="1">
      <c r="A11" s="1"/>
      <c r="B11" s="7"/>
      <c r="C11" s="1"/>
      <c r="D11" s="6" t="s">
        <v>21</v>
      </c>
      <c r="E11" s="6" t="s">
        <v>22</v>
      </c>
      <c r="F11" s="6" t="s">
        <v>23</v>
      </c>
      <c r="G11" s="6" t="s">
        <v>24</v>
      </c>
      <c r="H11" s="6" t="s">
        <v>25</v>
      </c>
      <c r="I11" s="6" t="s">
        <v>26</v>
      </c>
      <c r="J11" s="6" t="s">
        <v>27</v>
      </c>
      <c r="K11" s="6" t="s">
        <v>28</v>
      </c>
      <c r="R11" s="1"/>
    </row>
    <row r="12" ht="16.5" customHeight="1">
      <c r="A12" s="1"/>
      <c r="B12" s="7"/>
      <c r="C12" s="1"/>
      <c r="D12" s="31">
        <v>1.0</v>
      </c>
      <c r="E12" s="32"/>
      <c r="F12" s="32"/>
      <c r="G12" s="33" t="b">
        <v>0</v>
      </c>
      <c r="H12" s="33" t="b">
        <v>0</v>
      </c>
      <c r="I12" s="33" t="b">
        <v>0</v>
      </c>
      <c r="J12" s="33"/>
      <c r="K12" s="34"/>
      <c r="L12" s="35"/>
      <c r="M12" s="35"/>
      <c r="N12" s="35"/>
      <c r="O12" s="35"/>
      <c r="P12" s="35"/>
      <c r="Q12" s="36"/>
      <c r="R12" s="1"/>
    </row>
    <row r="13" ht="16.5" customHeight="1">
      <c r="A13" s="1"/>
      <c r="B13" s="7"/>
      <c r="C13" s="1"/>
      <c r="D13" s="37">
        <v>2.0</v>
      </c>
      <c r="E13" s="38"/>
      <c r="F13" s="39"/>
      <c r="G13" s="40" t="b">
        <v>0</v>
      </c>
      <c r="H13" s="40" t="b">
        <v>0</v>
      </c>
      <c r="I13" s="40" t="b">
        <v>0</v>
      </c>
      <c r="J13" s="41"/>
      <c r="K13" s="42"/>
      <c r="L13" s="43"/>
      <c r="M13" s="43"/>
      <c r="N13" s="43"/>
      <c r="O13" s="43"/>
      <c r="P13" s="43"/>
      <c r="Q13" s="44"/>
      <c r="R13" s="1"/>
    </row>
    <row r="14" ht="16.5" customHeight="1">
      <c r="A14" s="1"/>
      <c r="B14" s="7"/>
      <c r="C14" s="1"/>
      <c r="D14" s="37">
        <v>3.0</v>
      </c>
      <c r="E14" s="38"/>
      <c r="F14" s="39"/>
      <c r="G14" s="40" t="b">
        <v>0</v>
      </c>
      <c r="H14" s="40" t="b">
        <v>0</v>
      </c>
      <c r="I14" s="40" t="b">
        <v>0</v>
      </c>
      <c r="J14" s="41"/>
      <c r="K14" s="42"/>
      <c r="L14" s="43"/>
      <c r="M14" s="43"/>
      <c r="N14" s="43"/>
      <c r="O14" s="43"/>
      <c r="P14" s="43"/>
      <c r="Q14" s="44"/>
      <c r="R14" s="1"/>
    </row>
    <row r="15" ht="16.5" customHeight="1">
      <c r="A15" s="1"/>
      <c r="B15" s="7"/>
      <c r="C15" s="1"/>
      <c r="D15" s="37">
        <v>4.0</v>
      </c>
      <c r="E15" s="38"/>
      <c r="F15" s="38"/>
      <c r="G15" s="40" t="b">
        <v>0</v>
      </c>
      <c r="H15" s="40" t="b">
        <v>0</v>
      </c>
      <c r="I15" s="40" t="b">
        <v>0</v>
      </c>
      <c r="J15" s="41"/>
      <c r="K15" s="42"/>
      <c r="L15" s="43"/>
      <c r="M15" s="43"/>
      <c r="N15" s="43"/>
      <c r="O15" s="43"/>
      <c r="P15" s="43"/>
      <c r="Q15" s="44"/>
      <c r="R15" s="1"/>
    </row>
    <row r="16" ht="16.5" customHeight="1">
      <c r="A16" s="1"/>
      <c r="B16" s="7"/>
      <c r="C16" s="1"/>
      <c r="D16" s="37">
        <v>5.0</v>
      </c>
      <c r="E16" s="38"/>
      <c r="F16" s="38"/>
      <c r="G16" s="40" t="b">
        <v>0</v>
      </c>
      <c r="H16" s="40" t="b">
        <v>0</v>
      </c>
      <c r="I16" s="40" t="b">
        <v>0</v>
      </c>
      <c r="J16" s="41"/>
      <c r="K16" s="42"/>
      <c r="L16" s="43"/>
      <c r="M16" s="43"/>
      <c r="N16" s="43"/>
      <c r="O16" s="43"/>
      <c r="P16" s="43"/>
      <c r="Q16" s="44"/>
      <c r="R16" s="1"/>
    </row>
    <row r="17" ht="16.5" customHeight="1">
      <c r="A17" s="1"/>
      <c r="B17" s="7"/>
      <c r="C17" s="1"/>
      <c r="D17" s="37">
        <v>6.0</v>
      </c>
      <c r="E17" s="38"/>
      <c r="F17" s="38"/>
      <c r="G17" s="40" t="b">
        <v>0</v>
      </c>
      <c r="H17" s="40" t="b">
        <v>0</v>
      </c>
      <c r="I17" s="40" t="b">
        <v>0</v>
      </c>
      <c r="J17" s="41"/>
      <c r="K17" s="42"/>
      <c r="L17" s="43"/>
      <c r="M17" s="43"/>
      <c r="N17" s="43"/>
      <c r="O17" s="43"/>
      <c r="P17" s="43"/>
      <c r="Q17" s="44"/>
      <c r="R17" s="1"/>
    </row>
    <row r="18" ht="16.5" customHeight="1">
      <c r="A18" s="1"/>
      <c r="B18" s="7"/>
      <c r="C18" s="1"/>
      <c r="D18" s="37">
        <v>7.0</v>
      </c>
      <c r="E18" s="38"/>
      <c r="F18" s="38"/>
      <c r="G18" s="40" t="b">
        <v>0</v>
      </c>
      <c r="H18" s="40" t="b">
        <v>0</v>
      </c>
      <c r="I18" s="40" t="b">
        <v>0</v>
      </c>
      <c r="J18" s="41"/>
      <c r="K18" s="42"/>
      <c r="L18" s="43"/>
      <c r="M18" s="43"/>
      <c r="N18" s="43"/>
      <c r="O18" s="43"/>
      <c r="P18" s="43"/>
      <c r="Q18" s="44"/>
      <c r="R18" s="1"/>
    </row>
    <row r="19" ht="16.5" customHeight="1" collapsed="1">
      <c r="A19" s="1"/>
      <c r="B19" s="7"/>
      <c r="C19" s="1"/>
      <c r="D19" s="37">
        <v>8.0</v>
      </c>
      <c r="E19" s="38"/>
      <c r="F19" s="38"/>
      <c r="G19" s="40" t="b">
        <v>0</v>
      </c>
      <c r="H19" s="40" t="b">
        <v>0</v>
      </c>
      <c r="I19" s="40" t="b">
        <v>0</v>
      </c>
      <c r="J19" s="41"/>
      <c r="K19" s="42"/>
      <c r="L19" s="43"/>
      <c r="M19" s="43"/>
      <c r="N19" s="43"/>
      <c r="O19" s="43"/>
      <c r="P19" s="43"/>
      <c r="Q19" s="44"/>
      <c r="R19" s="1"/>
    </row>
    <row r="20" ht="16.5" hidden="1" customHeight="1" outlineLevel="1">
      <c r="A20" s="1"/>
      <c r="B20" s="7"/>
      <c r="C20" s="1"/>
      <c r="D20" s="37">
        <v>9.0</v>
      </c>
      <c r="E20" s="38"/>
      <c r="F20" s="38"/>
      <c r="G20" s="40" t="b">
        <v>0</v>
      </c>
      <c r="H20" s="40" t="b">
        <v>0</v>
      </c>
      <c r="I20" s="40" t="b">
        <v>0</v>
      </c>
      <c r="J20" s="41"/>
      <c r="K20" s="42"/>
      <c r="L20" s="43"/>
      <c r="M20" s="43"/>
      <c r="N20" s="43"/>
      <c r="O20" s="43"/>
      <c r="P20" s="43"/>
      <c r="Q20" s="44"/>
      <c r="R20" s="1"/>
    </row>
    <row r="21" ht="16.5" hidden="1" customHeight="1" outlineLevel="1">
      <c r="A21" s="1"/>
      <c r="B21" s="7"/>
      <c r="C21" s="1"/>
      <c r="D21" s="37">
        <v>10.0</v>
      </c>
      <c r="E21" s="38"/>
      <c r="F21" s="38"/>
      <c r="G21" s="40" t="b">
        <v>0</v>
      </c>
      <c r="H21" s="40" t="b">
        <v>0</v>
      </c>
      <c r="I21" s="40" t="b">
        <v>0</v>
      </c>
      <c r="J21" s="41"/>
      <c r="K21" s="42"/>
      <c r="L21" s="43"/>
      <c r="M21" s="43"/>
      <c r="N21" s="43"/>
      <c r="O21" s="43"/>
      <c r="P21" s="43"/>
      <c r="Q21" s="44"/>
      <c r="R21" s="1"/>
    </row>
    <row r="22" ht="16.5" hidden="1" customHeight="1" outlineLevel="1">
      <c r="A22" s="1"/>
      <c r="B22" s="7"/>
      <c r="C22" s="1"/>
      <c r="D22" s="37">
        <v>11.0</v>
      </c>
      <c r="E22" s="38"/>
      <c r="F22" s="38"/>
      <c r="G22" s="40" t="b">
        <v>0</v>
      </c>
      <c r="H22" s="40" t="b">
        <v>0</v>
      </c>
      <c r="I22" s="40" t="b">
        <v>0</v>
      </c>
      <c r="J22" s="41"/>
      <c r="K22" s="42"/>
      <c r="L22" s="43"/>
      <c r="M22" s="43"/>
      <c r="N22" s="43"/>
      <c r="O22" s="43"/>
      <c r="P22" s="43"/>
      <c r="Q22" s="44"/>
      <c r="R22" s="1"/>
    </row>
    <row r="23" ht="16.5" hidden="1" customHeight="1" outlineLevel="1">
      <c r="A23" s="1"/>
      <c r="B23" s="7"/>
      <c r="C23" s="1"/>
      <c r="D23" s="45">
        <v>12.0</v>
      </c>
      <c r="E23" s="46"/>
      <c r="F23" s="46"/>
      <c r="G23" s="47" t="b">
        <v>0</v>
      </c>
      <c r="H23" s="47" t="b">
        <v>0</v>
      </c>
      <c r="I23" s="47" t="b">
        <v>0</v>
      </c>
      <c r="J23" s="48"/>
      <c r="K23" s="49"/>
      <c r="L23" s="50"/>
      <c r="M23" s="50"/>
      <c r="N23" s="50"/>
      <c r="O23" s="50"/>
      <c r="P23" s="50"/>
      <c r="Q23" s="51"/>
      <c r="R23" s="1"/>
    </row>
    <row r="24" ht="21.0" customHeight="1">
      <c r="A24" s="1"/>
      <c r="B24" s="52"/>
      <c r="C24" s="1"/>
      <c r="D24" s="53" t="s">
        <v>29</v>
      </c>
      <c r="E24" s="54"/>
      <c r="F24" s="54"/>
      <c r="G24" s="54"/>
      <c r="H24" s="54"/>
      <c r="I24" s="54"/>
      <c r="J24" s="54"/>
      <c r="K24" s="55" t="str">
        <f>HYPERLINK("https://docs.google.com/spreadsheets/d/1wJ9XFFqgkFY3kyo7G2_EsBwrwID4yxK9x0B7gjxENik/edit","More RPG sheets here")</f>
        <v>More RPG sheets here</v>
      </c>
      <c r="L24" s="54"/>
      <c r="M24" s="54"/>
      <c r="N24" s="54"/>
      <c r="O24" s="56" t="str">
        <f>"Sheet " &amp; Version</f>
        <v>Sheet v1.1.8</v>
      </c>
      <c r="P24" s="54"/>
      <c r="Q24" s="54"/>
      <c r="R24" s="1"/>
    </row>
    <row r="25" ht="6.0" customHeight="1">
      <c r="A25" s="1"/>
      <c r="B25" s="1"/>
      <c r="C25" s="1"/>
      <c r="D25" s="57"/>
      <c r="E25" s="57"/>
      <c r="F25" s="57"/>
      <c r="G25" s="57"/>
      <c r="H25" s="57"/>
      <c r="I25" s="57"/>
      <c r="J25" s="57"/>
      <c r="K25" s="58"/>
      <c r="L25" s="58"/>
      <c r="M25" s="58"/>
      <c r="N25" s="58"/>
      <c r="O25" s="59"/>
      <c r="P25" s="59"/>
      <c r="Q25" s="59"/>
      <c r="R25" s="60"/>
    </row>
  </sheetData>
  <mergeCells count="39">
    <mergeCell ref="G3:H3"/>
    <mergeCell ref="I3:J3"/>
    <mergeCell ref="M3:Q3"/>
    <mergeCell ref="D4:Q4"/>
    <mergeCell ref="D5:E5"/>
    <mergeCell ref="F5:G5"/>
    <mergeCell ref="D3:E3"/>
    <mergeCell ref="D6:E6"/>
    <mergeCell ref="F6:G6"/>
    <mergeCell ref="H6:K6"/>
    <mergeCell ref="D7:Q7"/>
    <mergeCell ref="D8:J8"/>
    <mergeCell ref="K8:Q8"/>
    <mergeCell ref="D9:J9"/>
    <mergeCell ref="K9:Q9"/>
    <mergeCell ref="D10:Q10"/>
    <mergeCell ref="K11:Q11"/>
    <mergeCell ref="D1:Q1"/>
    <mergeCell ref="B2:B24"/>
    <mergeCell ref="D2:E2"/>
    <mergeCell ref="G2:H2"/>
    <mergeCell ref="I2:J2"/>
    <mergeCell ref="M2:Q2"/>
    <mergeCell ref="H5:K5"/>
    <mergeCell ref="O24:Q24"/>
    <mergeCell ref="K12:Q12"/>
    <mergeCell ref="K13:Q13"/>
    <mergeCell ref="K14:Q14"/>
    <mergeCell ref="K15:Q15"/>
    <mergeCell ref="K16:Q16"/>
    <mergeCell ref="K17:Q17"/>
    <mergeCell ref="K18:Q18"/>
    <mergeCell ref="K19:Q19"/>
    <mergeCell ref="K20:Q20"/>
    <mergeCell ref="K21:Q21"/>
    <mergeCell ref="K22:Q22"/>
    <mergeCell ref="K23:Q23"/>
    <mergeCell ref="D24:J24"/>
    <mergeCell ref="K24:N24"/>
  </mergeCells>
  <conditionalFormatting sqref="G12:I23">
    <cfRule type="cellIs" dxfId="0" priority="1" operator="equal">
      <formula>"FALSE"</formula>
    </cfRule>
  </conditionalFormatting>
  <conditionalFormatting sqref="G12:I23">
    <cfRule type="cellIs" dxfId="1" priority="2" operator="equal">
      <formula>"TRUE"</formula>
    </cfRule>
  </conditionalFormatting>
  <dataValidations>
    <dataValidation type="list" allowBlank="1" sqref="L3">
      <formula1>"Male,Female,Other,--"</formula1>
    </dataValidation>
  </dataValidation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0000"/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1.29"/>
    <col customWidth="1" min="2" max="2" width="16.14"/>
    <col customWidth="1" min="3" max="7" width="7.0"/>
    <col customWidth="1" min="8" max="8" width="4.71"/>
    <col customWidth="1" min="9" max="9" width="2.43"/>
    <col customWidth="1" min="10" max="18" width="4.71"/>
    <col customWidth="1" min="19" max="24" width="7.0"/>
    <col customWidth="1" min="25" max="25" width="4.71"/>
    <col customWidth="1" min="26" max="26" width="2.43"/>
    <col customWidth="1" min="27" max="32" width="4.71"/>
    <col customWidth="1" min="33" max="33" width="1.29"/>
  </cols>
  <sheetData>
    <row r="1" ht="36.0" customHeight="1">
      <c r="A1" s="1"/>
      <c r="B1" s="3" t="s">
        <v>30</v>
      </c>
      <c r="C1" s="4"/>
      <c r="D1" s="4"/>
      <c r="E1" s="4"/>
      <c r="F1" s="4"/>
      <c r="G1" s="4"/>
      <c r="H1" s="1"/>
      <c r="I1" s="3" t="s">
        <v>31</v>
      </c>
      <c r="J1" s="4"/>
      <c r="K1" s="4"/>
      <c r="L1" s="4"/>
      <c r="M1" s="4"/>
      <c r="N1" s="4"/>
      <c r="O1" s="4"/>
      <c r="P1" s="4"/>
      <c r="Q1" s="4"/>
      <c r="R1" s="1"/>
      <c r="S1" s="3" t="s">
        <v>32</v>
      </c>
      <c r="T1" s="4"/>
      <c r="U1" s="4"/>
      <c r="V1" s="4"/>
      <c r="W1" s="4"/>
      <c r="X1" s="4"/>
      <c r="Y1" s="1"/>
      <c r="Z1" s="3" t="s">
        <v>33</v>
      </c>
      <c r="AA1" s="4"/>
      <c r="AB1" s="4"/>
      <c r="AC1" s="4"/>
      <c r="AD1" s="4"/>
      <c r="AE1" s="4"/>
      <c r="AF1" s="4"/>
      <c r="AG1" s="1"/>
    </row>
    <row r="2" ht="16.5" customHeight="1">
      <c r="A2" s="1"/>
      <c r="B2" s="1"/>
      <c r="C2" s="6" t="s">
        <v>34</v>
      </c>
      <c r="D2" s="6" t="s">
        <v>35</v>
      </c>
      <c r="E2" s="6" t="s">
        <v>36</v>
      </c>
      <c r="F2" s="6" t="s">
        <v>37</v>
      </c>
      <c r="G2" s="6" t="s">
        <v>38</v>
      </c>
      <c r="H2" s="1"/>
      <c r="I2" s="1"/>
      <c r="J2" s="61"/>
      <c r="K2" s="61"/>
      <c r="L2" s="61"/>
      <c r="M2" s="6" t="s">
        <v>34</v>
      </c>
      <c r="N2" s="6" t="s">
        <v>35</v>
      </c>
      <c r="O2" s="6" t="s">
        <v>36</v>
      </c>
      <c r="P2" s="6" t="s">
        <v>39</v>
      </c>
      <c r="Q2" s="6" t="s">
        <v>40</v>
      </c>
      <c r="R2" s="1"/>
      <c r="S2" s="61"/>
      <c r="T2" s="61"/>
      <c r="U2" s="6" t="s">
        <v>41</v>
      </c>
      <c r="W2" s="6" t="s">
        <v>42</v>
      </c>
      <c r="Y2" s="1"/>
      <c r="Z2" s="62" t="s">
        <v>43</v>
      </c>
      <c r="AF2" s="13">
        <v>0.0</v>
      </c>
      <c r="AG2" s="1"/>
    </row>
    <row r="3" ht="16.5" customHeight="1">
      <c r="A3" s="1"/>
      <c r="B3" s="63" t="s">
        <v>44</v>
      </c>
      <c r="C3" s="64">
        <f>D3+E3-F3</f>
        <v>7</v>
      </c>
      <c r="D3" s="65">
        <v>7.0</v>
      </c>
      <c r="E3" s="66">
        <v>0.0</v>
      </c>
      <c r="F3" s="67">
        <v>0.0</v>
      </c>
      <c r="G3" s="68">
        <f>IF(C3&lt;=0,-3,IF(C3&gt;=15,3,FLOOR(C3/3)-2))</f>
        <v>0</v>
      </c>
      <c r="H3" s="1"/>
      <c r="I3" s="63" t="s">
        <v>45</v>
      </c>
      <c r="J3" s="69"/>
      <c r="K3" s="69"/>
      <c r="L3" s="69"/>
      <c r="M3" s="64">
        <f>N3+O3-P3</f>
        <v>0</v>
      </c>
      <c r="N3" s="65">
        <v>0.0</v>
      </c>
      <c r="O3" s="66">
        <v>0.0</v>
      </c>
      <c r="P3" s="67">
        <v>0.0</v>
      </c>
      <c r="Q3" s="68">
        <f>IF(M3&lt;=0,-3,IF(M3&gt;=15,3,FLOOR(M3/3)-2))</f>
        <v>-3</v>
      </c>
      <c r="R3" s="1"/>
      <c r="S3" s="62" t="s">
        <v>46</v>
      </c>
      <c r="U3" s="70">
        <v>0.0</v>
      </c>
      <c r="V3" s="9"/>
      <c r="W3" s="71" t="str">
        <f>IF(U3&lt;=150,"None",IF(U3&lt;=300,-1,IF(U3&lt;=500,-2,IF(U3&lt;=800,-3,-4))) &amp; " END perm.")</f>
        <v>None</v>
      </c>
      <c r="X3" s="9"/>
      <c r="Y3" s="1"/>
      <c r="Z3" s="62" t="s">
        <v>47</v>
      </c>
      <c r="AF3" s="13">
        <v>0.0</v>
      </c>
      <c r="AG3" s="1"/>
    </row>
    <row r="4" ht="16.5" customHeight="1">
      <c r="A4" s="1"/>
      <c r="B4" s="72" t="s">
        <v>48</v>
      </c>
      <c r="C4" s="73"/>
      <c r="D4" s="74"/>
      <c r="E4" s="75"/>
      <c r="F4" s="76"/>
      <c r="G4" s="73"/>
      <c r="H4" s="1"/>
      <c r="I4" s="72" t="s">
        <v>49</v>
      </c>
      <c r="J4" s="77"/>
      <c r="K4" s="77"/>
      <c r="L4" s="77"/>
      <c r="M4" s="73"/>
      <c r="N4" s="74"/>
      <c r="O4" s="75"/>
      <c r="P4" s="76"/>
      <c r="Q4" s="73"/>
      <c r="R4" s="1"/>
      <c r="S4" s="1"/>
      <c r="T4" s="1"/>
      <c r="U4" s="1"/>
      <c r="V4" s="1"/>
      <c r="W4" s="1"/>
      <c r="X4" s="1"/>
      <c r="Y4" s="1"/>
      <c r="Z4" s="62" t="s">
        <v>50</v>
      </c>
      <c r="AB4" s="78"/>
      <c r="AC4" s="54"/>
      <c r="AD4" s="54"/>
      <c r="AE4" s="54"/>
      <c r="AF4" s="79"/>
      <c r="AG4" s="1"/>
    </row>
    <row r="5" ht="16.5" customHeight="1">
      <c r="A5" s="1"/>
      <c r="B5" s="63" t="s">
        <v>51</v>
      </c>
      <c r="C5" s="64">
        <f>D5+E5-F5</f>
        <v>7</v>
      </c>
      <c r="D5" s="65">
        <v>7.0</v>
      </c>
      <c r="E5" s="66">
        <v>0.0</v>
      </c>
      <c r="F5" s="67">
        <v>0.0</v>
      </c>
      <c r="G5" s="68">
        <f>IF(C5&lt;=0,-3,IF(C5&gt;=15,3,FLOOR(C5/3)-2))</f>
        <v>0</v>
      </c>
      <c r="H5" s="1"/>
      <c r="I5" s="80" t="s">
        <v>52</v>
      </c>
      <c r="R5" s="1"/>
      <c r="S5" s="62" t="s">
        <v>53</v>
      </c>
      <c r="U5" s="81"/>
      <c r="V5" s="23"/>
      <c r="W5" s="82"/>
      <c r="X5" s="25"/>
      <c r="Y5" s="1"/>
      <c r="Z5" s="62" t="s">
        <v>54</v>
      </c>
      <c r="AB5" s="81"/>
      <c r="AC5" s="22"/>
      <c r="AD5" s="22"/>
      <c r="AE5" s="22"/>
      <c r="AF5" s="25"/>
      <c r="AG5" s="1"/>
    </row>
    <row r="6" ht="16.5" customHeight="1">
      <c r="A6" s="1"/>
      <c r="B6" s="72" t="s">
        <v>55</v>
      </c>
      <c r="C6" s="73"/>
      <c r="D6" s="74"/>
      <c r="E6" s="75"/>
      <c r="F6" s="76"/>
      <c r="G6" s="73"/>
      <c r="H6" s="1"/>
      <c r="I6" s="4"/>
      <c r="J6" s="4"/>
      <c r="K6" s="4"/>
      <c r="L6" s="4"/>
      <c r="M6" s="4"/>
      <c r="N6" s="4"/>
      <c r="O6" s="4"/>
      <c r="P6" s="4"/>
      <c r="Q6" s="4"/>
      <c r="R6" s="1"/>
      <c r="U6" s="83"/>
      <c r="V6" s="28"/>
      <c r="W6" s="84"/>
      <c r="X6" s="30"/>
      <c r="Y6" s="1"/>
      <c r="AB6" s="85"/>
      <c r="AC6" s="86"/>
      <c r="AD6" s="86"/>
      <c r="AE6" s="86"/>
      <c r="AF6" s="87"/>
      <c r="AG6" s="1"/>
    </row>
    <row r="7" ht="16.5" customHeight="1">
      <c r="A7" s="1"/>
      <c r="B7" s="63" t="s">
        <v>56</v>
      </c>
      <c r="C7" s="64">
        <f>D7+E7-F7</f>
        <v>7</v>
      </c>
      <c r="D7" s="65">
        <v>7.0</v>
      </c>
      <c r="E7" s="66">
        <v>0.0</v>
      </c>
      <c r="F7" s="67">
        <v>0.0</v>
      </c>
      <c r="G7" s="68">
        <f>IF(C7&lt;=0,-3,IF(C7&gt;=15,3,FLOOR(C7/3)-2))</f>
        <v>0</v>
      </c>
      <c r="H7" s="1"/>
      <c r="I7" s="6" t="s">
        <v>3</v>
      </c>
      <c r="N7" s="6" t="s">
        <v>57</v>
      </c>
      <c r="O7" s="6" t="s">
        <v>36</v>
      </c>
      <c r="P7" s="1"/>
      <c r="Q7" s="6" t="s">
        <v>58</v>
      </c>
      <c r="R7" s="1"/>
      <c r="S7" s="1"/>
      <c r="T7" s="1"/>
      <c r="U7" s="1"/>
      <c r="V7" s="1"/>
      <c r="W7" s="1"/>
      <c r="X7" s="1"/>
      <c r="Y7" s="1"/>
      <c r="Z7" s="80" t="s">
        <v>59</v>
      </c>
      <c r="AG7" s="1"/>
    </row>
    <row r="8" ht="16.5" customHeight="1">
      <c r="A8" s="1"/>
      <c r="B8" s="72" t="s">
        <v>60</v>
      </c>
      <c r="C8" s="73"/>
      <c r="D8" s="74"/>
      <c r="E8" s="75"/>
      <c r="F8" s="76"/>
      <c r="G8" s="73"/>
      <c r="H8" s="1"/>
      <c r="I8" s="88" t="s">
        <v>61</v>
      </c>
      <c r="J8" s="43"/>
      <c r="K8" s="43"/>
      <c r="L8" s="43"/>
      <c r="M8" s="89"/>
      <c r="N8" s="31" t="s">
        <v>62</v>
      </c>
      <c r="O8" s="90">
        <v>0.0</v>
      </c>
      <c r="P8" s="91"/>
      <c r="Q8" s="92" t="str">
        <f>IF(N8="--","--",N8+O8+PsiDM)</f>
        <v>--</v>
      </c>
      <c r="R8" s="1"/>
      <c r="S8" s="62" t="s">
        <v>63</v>
      </c>
      <c r="U8" s="61" t="b">
        <v>0</v>
      </c>
      <c r="V8" s="1"/>
      <c r="W8" s="1"/>
      <c r="X8" s="1"/>
      <c r="Y8" s="1"/>
      <c r="Z8" s="4"/>
      <c r="AA8" s="4"/>
      <c r="AB8" s="4"/>
      <c r="AC8" s="4"/>
      <c r="AD8" s="4"/>
      <c r="AE8" s="4"/>
      <c r="AF8" s="4"/>
      <c r="AG8" s="1"/>
    </row>
    <row r="9" ht="16.5" customHeight="1">
      <c r="A9" s="1"/>
      <c r="B9" s="63" t="s">
        <v>64</v>
      </c>
      <c r="C9" s="64">
        <f>D9+E9-F9</f>
        <v>7</v>
      </c>
      <c r="D9" s="65">
        <v>7.0</v>
      </c>
      <c r="E9" s="66">
        <v>0.0</v>
      </c>
      <c r="F9" s="67">
        <v>0.0</v>
      </c>
      <c r="G9" s="68">
        <f>IF(C9&lt;=0,-3,IF(C9&gt;=15,3,FLOOR(C9/3)-2))</f>
        <v>0</v>
      </c>
      <c r="H9" s="1"/>
      <c r="I9" s="88" t="s">
        <v>65</v>
      </c>
      <c r="J9" s="43"/>
      <c r="K9" s="43"/>
      <c r="L9" s="43"/>
      <c r="M9" s="89"/>
      <c r="N9" s="37" t="s">
        <v>62</v>
      </c>
      <c r="O9" s="93">
        <v>0.0</v>
      </c>
      <c r="P9" s="1"/>
      <c r="Q9" s="92" t="str">
        <f>IF(N9="--","--",N9+O9+PsiDM)</f>
        <v>--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94" t="s">
        <v>66</v>
      </c>
      <c r="AF9" s="6" t="s">
        <v>67</v>
      </c>
      <c r="AG9" s="1"/>
    </row>
    <row r="10" ht="16.5" customHeight="1">
      <c r="A10" s="1"/>
      <c r="B10" s="72" t="s">
        <v>68</v>
      </c>
      <c r="C10" s="73"/>
      <c r="D10" s="74"/>
      <c r="E10" s="75"/>
      <c r="F10" s="76"/>
      <c r="G10" s="73"/>
      <c r="H10" s="1"/>
      <c r="I10" s="88" t="s">
        <v>69</v>
      </c>
      <c r="J10" s="43"/>
      <c r="K10" s="43"/>
      <c r="L10" s="43"/>
      <c r="M10" s="89"/>
      <c r="N10" s="37" t="s">
        <v>62</v>
      </c>
      <c r="O10" s="93">
        <v>0.0</v>
      </c>
      <c r="P10" s="1"/>
      <c r="Q10" s="92" t="str">
        <f>IF(N10="--","--",N10+O10+PsiDM)</f>
        <v>--</v>
      </c>
      <c r="R10" s="1"/>
      <c r="S10" s="1"/>
      <c r="T10" s="1"/>
      <c r="U10" s="1"/>
      <c r="V10" s="1"/>
      <c r="W10" s="1"/>
      <c r="X10" s="1"/>
      <c r="Y10" s="1"/>
      <c r="Z10" s="62" t="s">
        <v>70</v>
      </c>
      <c r="AE10" s="95">
        <f>SUM($F$19:$F$78,$W$19:$W$85,$N$8:$N$14,$F$82:$F$85)</f>
        <v>0</v>
      </c>
      <c r="AF10" s="95">
        <f>3*(Edu+Int)</f>
        <v>42</v>
      </c>
      <c r="AG10" s="1"/>
    </row>
    <row r="11" ht="16.5" customHeight="1">
      <c r="A11" s="1"/>
      <c r="B11" s="63" t="s">
        <v>71</v>
      </c>
      <c r="C11" s="64">
        <f>D11+E11-F11</f>
        <v>7</v>
      </c>
      <c r="D11" s="65">
        <v>7.0</v>
      </c>
      <c r="E11" s="66">
        <v>0.0</v>
      </c>
      <c r="F11" s="67">
        <v>0.0</v>
      </c>
      <c r="G11" s="68">
        <f>IF(C11&lt;=0,-3,IF(C11&gt;=15,3,FLOOR(C11/3)-2))</f>
        <v>0</v>
      </c>
      <c r="H11" s="1"/>
      <c r="I11" s="88" t="s">
        <v>72</v>
      </c>
      <c r="J11" s="43"/>
      <c r="K11" s="43"/>
      <c r="L11" s="43"/>
      <c r="M11" s="89"/>
      <c r="N11" s="37" t="s">
        <v>62</v>
      </c>
      <c r="O11" s="93">
        <v>0.0</v>
      </c>
      <c r="P11" s="1"/>
      <c r="Q11" s="92" t="str">
        <f>IF(N11="--","--",N11+O11+PsiDM)</f>
        <v>--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ht="16.5" customHeight="1">
      <c r="A12" s="1"/>
      <c r="B12" s="72" t="s">
        <v>73</v>
      </c>
      <c r="C12" s="73"/>
      <c r="D12" s="74"/>
      <c r="E12" s="75"/>
      <c r="F12" s="76"/>
      <c r="G12" s="73"/>
      <c r="H12" s="1"/>
      <c r="I12" s="88" t="s">
        <v>74</v>
      </c>
      <c r="J12" s="43"/>
      <c r="K12" s="43"/>
      <c r="L12" s="43"/>
      <c r="M12" s="89"/>
      <c r="N12" s="37" t="s">
        <v>62</v>
      </c>
      <c r="O12" s="93">
        <v>0.0</v>
      </c>
      <c r="P12" s="1"/>
      <c r="Q12" s="92" t="str">
        <f>IF(N12="--","--",N12+O12+PsiDM)</f>
        <v>--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ht="16.5" customHeight="1">
      <c r="A13" s="1"/>
      <c r="B13" s="63" t="s">
        <v>75</v>
      </c>
      <c r="C13" s="64">
        <f>D13+E13-F13</f>
        <v>7</v>
      </c>
      <c r="D13" s="65">
        <v>7.0</v>
      </c>
      <c r="E13" s="66">
        <v>0.0</v>
      </c>
      <c r="F13" s="67">
        <v>0.0</v>
      </c>
      <c r="G13" s="68">
        <f>IF(C13&lt;=0,-3,IF(C13&gt;=15,3,FLOOR(C13/3)-2))</f>
        <v>0</v>
      </c>
      <c r="H13" s="1"/>
      <c r="I13" s="96"/>
      <c r="J13" s="43"/>
      <c r="K13" s="43"/>
      <c r="L13" s="43"/>
      <c r="M13" s="89"/>
      <c r="N13" s="37" t="s">
        <v>62</v>
      </c>
      <c r="O13" s="93">
        <v>0.0</v>
      </c>
      <c r="P13" s="1"/>
      <c r="Q13" s="92" t="str">
        <f>IF(N13="--","--",N13+O13+PsiDM)</f>
        <v>--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ht="16.5" customHeight="1">
      <c r="A14" s="1"/>
      <c r="B14" s="72" t="s">
        <v>76</v>
      </c>
      <c r="C14" s="73"/>
      <c r="D14" s="74"/>
      <c r="E14" s="75"/>
      <c r="F14" s="76"/>
      <c r="G14" s="73"/>
      <c r="H14" s="1"/>
      <c r="I14" s="96"/>
      <c r="J14" s="43"/>
      <c r="K14" s="43"/>
      <c r="L14" s="43"/>
      <c r="M14" s="89"/>
      <c r="N14" s="45" t="s">
        <v>62</v>
      </c>
      <c r="O14" s="97">
        <v>0.0</v>
      </c>
      <c r="P14" s="98"/>
      <c r="Q14" s="92" t="str">
        <f>IF(N14="--","--",N14+O14+PsiDM)</f>
        <v>--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ht="6.0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ht="16.5" customHeight="1">
      <c r="A16" s="1"/>
      <c r="B16" s="62" t="s">
        <v>77</v>
      </c>
      <c r="E16" s="99"/>
      <c r="F16" s="100" t="str">
        <f>IF(Str&lt;=0,0,IF(Str&gt;=15,"F",BASE(Str,16))) &amp; IF(Dex&lt;=0,0,IF(Dex&gt;=15,"F",BASE(Dex,16))) &amp; IF(End&lt;=0,0,IF(End&gt;=15,"F",BASE(End,16))) &amp; IF(Int&lt;=0,0,IF(Int&gt;=15,"F",BASE(Int,16))) &amp; IF(Edu&lt;=0,0,IF(Edu&gt;=15,"F",BASE(Edu,16))) &amp; IF(Soc&lt;=0,0,IF(Soc&gt;=15,"F",BASE(Soc,16))) &amp; IF(Psi&lt;=0,IF((N3+O3)&lt;=0,"",0),IF(Psi&gt;=15,"F",BASE(Psi,16)))</f>
        <v>777777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ht="49.5" customHeight="1">
      <c r="A17" s="1"/>
      <c r="B17" s="3" t="s">
        <v>78</v>
      </c>
      <c r="C17" s="4"/>
      <c r="D17" s="4"/>
      <c r="E17" s="4"/>
      <c r="F17" s="4"/>
      <c r="G17" s="4"/>
      <c r="H17" s="4"/>
      <c r="I17" s="3"/>
      <c r="J17" s="101" t="s">
        <v>79</v>
      </c>
      <c r="K17" s="4"/>
      <c r="L17" s="4"/>
      <c r="M17" s="4"/>
      <c r="N17" s="4"/>
      <c r="O17" s="4"/>
      <c r="P17" s="1"/>
      <c r="Q17" s="3" t="s">
        <v>80</v>
      </c>
      <c r="R17" s="4"/>
      <c r="S17" s="4"/>
      <c r="T17" s="4"/>
      <c r="U17" s="4"/>
      <c r="V17" s="4"/>
      <c r="W17" s="4"/>
      <c r="X17" s="4"/>
      <c r="Y17" s="4"/>
      <c r="Z17" s="3"/>
      <c r="AA17" s="101" t="s">
        <v>79</v>
      </c>
      <c r="AB17" s="4"/>
      <c r="AC17" s="4"/>
      <c r="AD17" s="4"/>
      <c r="AE17" s="4"/>
      <c r="AF17" s="4"/>
      <c r="AG17" s="1"/>
    </row>
    <row r="18" ht="16.5" customHeight="1">
      <c r="A18" s="1"/>
      <c r="B18" s="6" t="s">
        <v>3</v>
      </c>
      <c r="C18" s="6" t="s">
        <v>81</v>
      </c>
      <c r="F18" s="6" t="s">
        <v>57</v>
      </c>
      <c r="G18" s="6" t="s">
        <v>36</v>
      </c>
      <c r="H18" s="6" t="s">
        <v>34</v>
      </c>
      <c r="I18" s="102"/>
      <c r="J18" s="103" t="s">
        <v>44</v>
      </c>
      <c r="K18" s="6" t="s">
        <v>51</v>
      </c>
      <c r="L18" s="6" t="s">
        <v>56</v>
      </c>
      <c r="M18" s="6" t="s">
        <v>64</v>
      </c>
      <c r="N18" s="6" t="s">
        <v>71</v>
      </c>
      <c r="O18" s="104" t="s">
        <v>75</v>
      </c>
      <c r="P18" s="1"/>
      <c r="Q18" s="6" t="s">
        <v>3</v>
      </c>
      <c r="T18" s="6" t="s">
        <v>81</v>
      </c>
      <c r="W18" s="6" t="s">
        <v>57</v>
      </c>
      <c r="X18" s="6" t="s">
        <v>36</v>
      </c>
      <c r="Y18" s="6" t="s">
        <v>34</v>
      </c>
      <c r="Z18" s="102"/>
      <c r="AA18" s="103" t="s">
        <v>44</v>
      </c>
      <c r="AB18" s="6" t="s">
        <v>51</v>
      </c>
      <c r="AC18" s="6" t="s">
        <v>56</v>
      </c>
      <c r="AD18" s="6" t="s">
        <v>64</v>
      </c>
      <c r="AE18" s="6" t="s">
        <v>71</v>
      </c>
      <c r="AF18" s="104" t="s">
        <v>75</v>
      </c>
      <c r="AG18" s="1"/>
    </row>
    <row r="19" ht="16.5" customHeight="1">
      <c r="A19" s="1"/>
      <c r="B19" s="88" t="s">
        <v>82</v>
      </c>
      <c r="C19" s="43"/>
      <c r="D19" s="43"/>
      <c r="E19" s="105"/>
      <c r="F19" s="31" t="s">
        <v>62</v>
      </c>
      <c r="G19" s="90">
        <v>0.0</v>
      </c>
      <c r="H19" s="92">
        <f>G19+IF(F19="--",Unskilled,F19)</f>
        <v>-3</v>
      </c>
      <c r="I19" s="106"/>
      <c r="J19" s="107">
        <f>H19+StrDM</f>
        <v>-3</v>
      </c>
      <c r="K19" s="108">
        <f>H19+DexDM</f>
        <v>-3</v>
      </c>
      <c r="L19" s="108">
        <f>H19+EndDM</f>
        <v>-3</v>
      </c>
      <c r="M19" s="109">
        <f>H19+IntDM</f>
        <v>-3</v>
      </c>
      <c r="N19" s="92">
        <f>H19+EduDM</f>
        <v>-3</v>
      </c>
      <c r="O19" s="92">
        <f>H19+SocDM</f>
        <v>-3</v>
      </c>
      <c r="P19" s="1"/>
      <c r="Q19" s="88" t="s">
        <v>83</v>
      </c>
      <c r="R19" s="43"/>
      <c r="S19" s="43"/>
      <c r="T19" s="43"/>
      <c r="U19" s="43"/>
      <c r="V19" s="105"/>
      <c r="W19" s="31" t="s">
        <v>62</v>
      </c>
      <c r="X19" s="90">
        <v>0.0</v>
      </c>
      <c r="Y19" s="92">
        <f>X19+IF(W19="--",IF(COUNTIF($W$19:$W$29,"&lt;&gt;--")&gt;0,0,Unskilled),W19)</f>
        <v>-3</v>
      </c>
      <c r="Z19" s="106"/>
      <c r="AA19" s="107">
        <f>Y19+StrDM</f>
        <v>-3</v>
      </c>
      <c r="AB19" s="108">
        <f>Y19+DexDM</f>
        <v>-3</v>
      </c>
      <c r="AC19" s="108">
        <f>Y19+EndDM</f>
        <v>-3</v>
      </c>
      <c r="AD19" s="110">
        <f>Y19+IntDM</f>
        <v>-3</v>
      </c>
      <c r="AE19" s="92">
        <f>Y19+EduDM</f>
        <v>-3</v>
      </c>
      <c r="AF19" s="111">
        <f>Y19+SocDM</f>
        <v>-3</v>
      </c>
      <c r="AG19" s="1"/>
    </row>
    <row r="20" ht="16.5" customHeight="1">
      <c r="A20" s="1"/>
      <c r="B20" s="88" t="s">
        <v>84</v>
      </c>
      <c r="C20" s="43"/>
      <c r="D20" s="43"/>
      <c r="E20" s="105"/>
      <c r="F20" s="37" t="s">
        <v>62</v>
      </c>
      <c r="G20" s="93">
        <v>0.0</v>
      </c>
      <c r="H20" s="92">
        <f>G20+IF(F20="--",Unskilled,F20)</f>
        <v>-3</v>
      </c>
      <c r="I20" s="106"/>
      <c r="J20" s="107">
        <f>H20+StrDM</f>
        <v>-3</v>
      </c>
      <c r="K20" s="108">
        <f>H20+DexDM</f>
        <v>-3</v>
      </c>
      <c r="L20" s="110">
        <f>H20+EndDM</f>
        <v>-3</v>
      </c>
      <c r="M20" s="92">
        <f>H20+IntDM</f>
        <v>-3</v>
      </c>
      <c r="N20" s="92">
        <f>H20+EduDM</f>
        <v>-3</v>
      </c>
      <c r="O20" s="92">
        <f>H20+SocDM</f>
        <v>-3</v>
      </c>
      <c r="P20" s="1"/>
      <c r="Q20" s="88" t="s">
        <v>83</v>
      </c>
      <c r="R20" s="43"/>
      <c r="S20" s="105"/>
      <c r="T20" s="112" t="s">
        <v>85</v>
      </c>
      <c r="U20" s="43"/>
      <c r="V20" s="105"/>
      <c r="W20" s="37" t="s">
        <v>62</v>
      </c>
      <c r="X20" s="93">
        <v>0.0</v>
      </c>
      <c r="Y20" s="92">
        <f>X20+IF(W20="--",IF(COUNTIF($W$19:$W$29,"&lt;&gt;--")&gt;0,0,Unskilled),W20)</f>
        <v>-3</v>
      </c>
      <c r="Z20" s="106"/>
      <c r="AA20" s="107">
        <f>Y20+StrDM</f>
        <v>-3</v>
      </c>
      <c r="AB20" s="108">
        <f>Y20+DexDM</f>
        <v>-3</v>
      </c>
      <c r="AC20" s="108">
        <f>Y20+EndDM</f>
        <v>-3</v>
      </c>
      <c r="AD20" s="110">
        <f>Y20+IntDM</f>
        <v>-3</v>
      </c>
      <c r="AE20" s="92">
        <f>Y20+EduDM</f>
        <v>-3</v>
      </c>
      <c r="AF20" s="111">
        <f>Y20+SocDM</f>
        <v>-3</v>
      </c>
      <c r="AG20" s="1"/>
    </row>
    <row r="21" ht="16.5" customHeight="1">
      <c r="A21" s="1"/>
      <c r="B21" s="88" t="s">
        <v>86</v>
      </c>
      <c r="C21" s="43"/>
      <c r="D21" s="43"/>
      <c r="E21" s="105"/>
      <c r="F21" s="37" t="s">
        <v>62</v>
      </c>
      <c r="G21" s="93">
        <v>0.0</v>
      </c>
      <c r="H21" s="92">
        <f>G21+IF(F21="--",IF(COUNTIF($F$21:$F$24,"&lt;&gt;--")&gt;0,0,Unskilled),F21)</f>
        <v>-3</v>
      </c>
      <c r="I21" s="106"/>
      <c r="J21" s="107">
        <f>H21+StrDM</f>
        <v>-3</v>
      </c>
      <c r="K21" s="113">
        <f>H21+DexDM</f>
        <v>-3</v>
      </c>
      <c r="L21" s="108">
        <f>H21+EndDM</f>
        <v>-3</v>
      </c>
      <c r="M21" s="114">
        <f>H21+IntDM</f>
        <v>-3</v>
      </c>
      <c r="N21" s="114">
        <f>H21+EduDM</f>
        <v>-3</v>
      </c>
      <c r="O21" s="115">
        <f>H21+SocDM</f>
        <v>-3</v>
      </c>
      <c r="P21" s="1"/>
      <c r="Q21" s="88" t="s">
        <v>83</v>
      </c>
      <c r="R21" s="43"/>
      <c r="S21" s="105"/>
      <c r="T21" s="112" t="s">
        <v>87</v>
      </c>
      <c r="U21" s="43"/>
      <c r="V21" s="105"/>
      <c r="W21" s="37" t="s">
        <v>62</v>
      </c>
      <c r="X21" s="93">
        <v>0.0</v>
      </c>
      <c r="Y21" s="92">
        <f>X21+IF(W21="--",IF(COUNTIF($W$19:$W$29,"&lt;&gt;--")&gt;0,0,Unskilled),W21)</f>
        <v>-3</v>
      </c>
      <c r="Z21" s="106"/>
      <c r="AA21" s="107">
        <f>Y21+StrDM</f>
        <v>-3</v>
      </c>
      <c r="AB21" s="108">
        <f>Y21+DexDM</f>
        <v>-3</v>
      </c>
      <c r="AC21" s="108">
        <f>Y21+EndDM</f>
        <v>-3</v>
      </c>
      <c r="AD21" s="110">
        <f>Y21+IntDM</f>
        <v>-3</v>
      </c>
      <c r="AE21" s="92">
        <f>Y21+EduDM</f>
        <v>-3</v>
      </c>
      <c r="AF21" s="111">
        <f>Y21+SocDM</f>
        <v>-3</v>
      </c>
      <c r="AG21" s="1"/>
    </row>
    <row r="22" ht="16.5" customHeight="1">
      <c r="A22" s="1"/>
      <c r="B22" s="116" t="s">
        <v>86</v>
      </c>
      <c r="C22" s="112" t="s">
        <v>88</v>
      </c>
      <c r="D22" s="43"/>
      <c r="E22" s="105"/>
      <c r="F22" s="37" t="s">
        <v>62</v>
      </c>
      <c r="G22" s="93">
        <v>0.0</v>
      </c>
      <c r="H22" s="92">
        <f>G22+IF(F22="--",IF(COUNTIF($F$21:$F$24,"&lt;&gt;--")&gt;0,0,Unskilled),F22)</f>
        <v>-3</v>
      </c>
      <c r="I22" s="106"/>
      <c r="J22" s="71">
        <f>H22+StrDM</f>
        <v>-3</v>
      </c>
      <c r="K22" s="92">
        <f>H22+DexDM</f>
        <v>-3</v>
      </c>
      <c r="L22" s="117">
        <f>H22+EndDM</f>
        <v>-3</v>
      </c>
      <c r="M22" s="113">
        <f>H22+IntDM</f>
        <v>-3</v>
      </c>
      <c r="N22" s="108">
        <f>H22+EduDM</f>
        <v>-3</v>
      </c>
      <c r="O22" s="118">
        <f>H22+SocDM</f>
        <v>-3</v>
      </c>
      <c r="P22" s="1"/>
      <c r="Q22" s="88" t="s">
        <v>83</v>
      </c>
      <c r="R22" s="43"/>
      <c r="S22" s="105"/>
      <c r="T22" s="112" t="s">
        <v>89</v>
      </c>
      <c r="U22" s="43"/>
      <c r="V22" s="105"/>
      <c r="W22" s="37" t="s">
        <v>62</v>
      </c>
      <c r="X22" s="93">
        <v>0.0</v>
      </c>
      <c r="Y22" s="92">
        <f>X22+IF(W22="--",IF(COUNTIF($W$19:$W$29,"&lt;&gt;--")&gt;0,0,Unskilled),W22)</f>
        <v>-3</v>
      </c>
      <c r="Z22" s="106"/>
      <c r="AA22" s="107">
        <f>Y22+StrDM</f>
        <v>-3</v>
      </c>
      <c r="AB22" s="108">
        <f>Y22+DexDM</f>
        <v>-3</v>
      </c>
      <c r="AC22" s="108">
        <f>Y22+EndDM</f>
        <v>-3</v>
      </c>
      <c r="AD22" s="110">
        <f>Y22+IntDM</f>
        <v>-3</v>
      </c>
      <c r="AE22" s="92">
        <f>Y22+EduDM</f>
        <v>-3</v>
      </c>
      <c r="AF22" s="111">
        <f>Y22+SocDM</f>
        <v>-3</v>
      </c>
      <c r="AG22" s="1"/>
    </row>
    <row r="23" ht="16.5" customHeight="1">
      <c r="A23" s="1"/>
      <c r="B23" s="116" t="s">
        <v>86</v>
      </c>
      <c r="C23" s="112" t="s">
        <v>90</v>
      </c>
      <c r="D23" s="43"/>
      <c r="E23" s="105"/>
      <c r="F23" s="37" t="s">
        <v>62</v>
      </c>
      <c r="G23" s="93">
        <v>0.0</v>
      </c>
      <c r="H23" s="92">
        <f>G23+IF(F23="--",IF(COUNTIF($F$21:$F$24,"&lt;&gt;--")&gt;0,0,Unskilled),F23)</f>
        <v>-3</v>
      </c>
      <c r="I23" s="106"/>
      <c r="J23" s="107">
        <f>H23+StrDM</f>
        <v>-3</v>
      </c>
      <c r="K23" s="114">
        <f>H23+DexDM</f>
        <v>-3</v>
      </c>
      <c r="L23" s="110">
        <f>H23+EndDM</f>
        <v>-3</v>
      </c>
      <c r="M23" s="92">
        <f>H23+IntDM</f>
        <v>-3</v>
      </c>
      <c r="N23" s="119">
        <f>H23+EduDM</f>
        <v>-3</v>
      </c>
      <c r="O23" s="111">
        <f>H23+SocDM</f>
        <v>-3</v>
      </c>
      <c r="P23" s="1"/>
      <c r="Q23" s="88" t="s">
        <v>83</v>
      </c>
      <c r="R23" s="43"/>
      <c r="S23" s="105"/>
      <c r="T23" s="112" t="s">
        <v>91</v>
      </c>
      <c r="U23" s="43"/>
      <c r="V23" s="105"/>
      <c r="W23" s="37" t="s">
        <v>62</v>
      </c>
      <c r="X23" s="93">
        <v>0.0</v>
      </c>
      <c r="Y23" s="92">
        <f>X23+IF(W23="--",IF(COUNTIF($W$19:$W$29,"&lt;&gt;--")&gt;0,0,Unskilled),W23)</f>
        <v>-3</v>
      </c>
      <c r="Z23" s="106"/>
      <c r="AA23" s="107">
        <f>Y23+StrDM</f>
        <v>-3</v>
      </c>
      <c r="AB23" s="108">
        <f>Y23+DexDM</f>
        <v>-3</v>
      </c>
      <c r="AC23" s="108">
        <f>Y23+EndDM</f>
        <v>-3</v>
      </c>
      <c r="AD23" s="110">
        <f>Y23+IntDM</f>
        <v>-3</v>
      </c>
      <c r="AE23" s="92">
        <f>Y23+EduDM</f>
        <v>-3</v>
      </c>
      <c r="AF23" s="111">
        <f>Y23+SocDM</f>
        <v>-3</v>
      </c>
      <c r="AG23" s="1"/>
    </row>
    <row r="24" ht="16.5" customHeight="1">
      <c r="A24" s="1"/>
      <c r="B24" s="116" t="s">
        <v>86</v>
      </c>
      <c r="C24" s="112" t="s">
        <v>92</v>
      </c>
      <c r="D24" s="43"/>
      <c r="E24" s="105"/>
      <c r="F24" s="37" t="s">
        <v>62</v>
      </c>
      <c r="G24" s="93">
        <v>0.0</v>
      </c>
      <c r="H24" s="92">
        <f>G24+IF(F24="--",IF(COUNTIF($F$21:$F$24,"&lt;&gt;--")&gt;0,0,Unskilled),F24)</f>
        <v>-3</v>
      </c>
      <c r="I24" s="106"/>
      <c r="J24" s="107">
        <f>H24+StrDM</f>
        <v>-3</v>
      </c>
      <c r="K24" s="108">
        <f>H24+DexDM</f>
        <v>-3</v>
      </c>
      <c r="L24" s="110">
        <f>H24+EndDM</f>
        <v>-3</v>
      </c>
      <c r="M24" s="120">
        <f>H24+IntDM</f>
        <v>-3</v>
      </c>
      <c r="N24" s="92">
        <f>H24+EduDM</f>
        <v>-3</v>
      </c>
      <c r="O24" s="111">
        <f>H24+SocDM</f>
        <v>-3</v>
      </c>
      <c r="P24" s="1"/>
      <c r="Q24" s="88" t="s">
        <v>83</v>
      </c>
      <c r="R24" s="43"/>
      <c r="S24" s="105"/>
      <c r="T24" s="121"/>
      <c r="U24" s="43"/>
      <c r="V24" s="105"/>
      <c r="W24" s="37" t="s">
        <v>62</v>
      </c>
      <c r="X24" s="93">
        <v>0.0</v>
      </c>
      <c r="Y24" s="92">
        <f>X24+IF(W24="--",IF(COUNTIF($W$19:$W$29,"&lt;&gt;--")&gt;0,0,Unskilled),W24)</f>
        <v>-3</v>
      </c>
      <c r="Z24" s="106"/>
      <c r="AA24" s="107">
        <f>Y24+StrDM</f>
        <v>-3</v>
      </c>
      <c r="AB24" s="108">
        <f>Y24+DexDM</f>
        <v>-3</v>
      </c>
      <c r="AC24" s="108">
        <f>Y24+EndDM</f>
        <v>-3</v>
      </c>
      <c r="AD24" s="110">
        <f>Y24+IntDM</f>
        <v>-3</v>
      </c>
      <c r="AE24" s="92">
        <f>Y24+EduDM</f>
        <v>-3</v>
      </c>
      <c r="AF24" s="111">
        <f>Y24+SocDM</f>
        <v>-3</v>
      </c>
      <c r="AG24" s="1"/>
    </row>
    <row r="25" ht="16.5" customHeight="1">
      <c r="A25" s="1"/>
      <c r="B25" s="88" t="s">
        <v>93</v>
      </c>
      <c r="C25" s="43"/>
      <c r="D25" s="43"/>
      <c r="E25" s="105"/>
      <c r="F25" s="37" t="s">
        <v>62</v>
      </c>
      <c r="G25" s="93">
        <v>0.0</v>
      </c>
      <c r="H25" s="92">
        <f>G25+IF(F25="--",IF(COUNTIF($F$25:$F$30,"&lt;&gt;--")&gt;0,0,Unskilled),F25)</f>
        <v>-3</v>
      </c>
      <c r="I25" s="106"/>
      <c r="J25" s="107">
        <f>H25+StrDM</f>
        <v>-3</v>
      </c>
      <c r="K25" s="108">
        <f>H25+DexDM</f>
        <v>-3</v>
      </c>
      <c r="L25" s="108">
        <f>H25+EndDM</f>
        <v>-3</v>
      </c>
      <c r="M25" s="113">
        <f>H25+IntDM</f>
        <v>-3</v>
      </c>
      <c r="N25" s="122">
        <f>H25+EduDM</f>
        <v>-3</v>
      </c>
      <c r="O25" s="118">
        <f>H25+SocDM</f>
        <v>-3</v>
      </c>
      <c r="P25" s="1"/>
      <c r="Q25" s="88" t="s">
        <v>83</v>
      </c>
      <c r="R25" s="43"/>
      <c r="S25" s="105"/>
      <c r="T25" s="121"/>
      <c r="U25" s="43"/>
      <c r="V25" s="105"/>
      <c r="W25" s="37" t="s">
        <v>62</v>
      </c>
      <c r="X25" s="93">
        <v>0.0</v>
      </c>
      <c r="Y25" s="92">
        <f>X25+IF(W25="--",IF(COUNTIF($W$19:$W$29,"&lt;&gt;--")&gt;0,0,Unskilled),W25)</f>
        <v>-3</v>
      </c>
      <c r="Z25" s="106"/>
      <c r="AA25" s="107">
        <f>Y25+StrDM</f>
        <v>-3</v>
      </c>
      <c r="AB25" s="108">
        <f>Y25+DexDM</f>
        <v>-3</v>
      </c>
      <c r="AC25" s="108">
        <f>Y25+EndDM</f>
        <v>-3</v>
      </c>
      <c r="AD25" s="110">
        <f>Y25+IntDM</f>
        <v>-3</v>
      </c>
      <c r="AE25" s="92">
        <f>Y25+EduDM</f>
        <v>-3</v>
      </c>
      <c r="AF25" s="111">
        <f>Y25+SocDM</f>
        <v>-3</v>
      </c>
      <c r="AG25" s="1"/>
    </row>
    <row r="26" ht="16.5" customHeight="1">
      <c r="A26" s="1"/>
      <c r="B26" s="116" t="s">
        <v>93</v>
      </c>
      <c r="C26" s="112" t="s">
        <v>94</v>
      </c>
      <c r="D26" s="43"/>
      <c r="E26" s="105"/>
      <c r="F26" s="37" t="s">
        <v>62</v>
      </c>
      <c r="G26" s="93">
        <v>0.0</v>
      </c>
      <c r="H26" s="92">
        <f>G26+IF(F26="--",IF(COUNTIF($F$25:$F$30,"&lt;&gt;--")&gt;0,0,Unskilled),F26)</f>
        <v>-3</v>
      </c>
      <c r="I26" s="106"/>
      <c r="J26" s="107">
        <f>H26+StrDM</f>
        <v>-3</v>
      </c>
      <c r="K26" s="113">
        <f>H26+DexDM</f>
        <v>-3</v>
      </c>
      <c r="L26" s="110">
        <f>H26+EndDM</f>
        <v>-3</v>
      </c>
      <c r="M26" s="92">
        <f>H26+IntDM</f>
        <v>-3</v>
      </c>
      <c r="N26" s="92">
        <f>H26+EduDM</f>
        <v>-3</v>
      </c>
      <c r="O26" s="111">
        <f>H26+SocDM</f>
        <v>-3</v>
      </c>
      <c r="P26" s="1"/>
      <c r="Q26" s="88" t="s">
        <v>83</v>
      </c>
      <c r="R26" s="43"/>
      <c r="S26" s="105"/>
      <c r="T26" s="121"/>
      <c r="U26" s="43"/>
      <c r="V26" s="105"/>
      <c r="W26" s="37" t="s">
        <v>62</v>
      </c>
      <c r="X26" s="93">
        <v>0.0</v>
      </c>
      <c r="Y26" s="92">
        <f>X26+IF(W26="--",IF(COUNTIF($W$19:$W$29,"&lt;&gt;--")&gt;0,0,Unskilled),W26)</f>
        <v>-3</v>
      </c>
      <c r="Z26" s="106"/>
      <c r="AA26" s="107">
        <f>Y26+StrDM</f>
        <v>-3</v>
      </c>
      <c r="AB26" s="108">
        <f>Y26+DexDM</f>
        <v>-3</v>
      </c>
      <c r="AC26" s="108">
        <f>Y26+EndDM</f>
        <v>-3</v>
      </c>
      <c r="AD26" s="110">
        <f>Y26+IntDM</f>
        <v>-3</v>
      </c>
      <c r="AE26" s="92">
        <f>Y26+EduDM</f>
        <v>-3</v>
      </c>
      <c r="AF26" s="111">
        <f>Y26+SocDM</f>
        <v>-3</v>
      </c>
      <c r="AG26" s="1"/>
    </row>
    <row r="27" ht="16.5" customHeight="1">
      <c r="A27" s="1"/>
      <c r="B27" s="116" t="s">
        <v>93</v>
      </c>
      <c r="C27" s="112" t="s">
        <v>95</v>
      </c>
      <c r="D27" s="43"/>
      <c r="E27" s="105"/>
      <c r="F27" s="37" t="s">
        <v>62</v>
      </c>
      <c r="G27" s="93">
        <v>0.0</v>
      </c>
      <c r="H27" s="92">
        <f>G27+IF(F27="--",IF(COUNTIF($F$25:$F$30,"&lt;&gt;--")&gt;0,0,Unskilled),F27)</f>
        <v>-3</v>
      </c>
      <c r="I27" s="106"/>
      <c r="J27" s="71">
        <f>H27+StrDM</f>
        <v>-3</v>
      </c>
      <c r="K27" s="92">
        <f>H27+DexDM</f>
        <v>-3</v>
      </c>
      <c r="L27" s="117">
        <f>H27+EndDM</f>
        <v>-3</v>
      </c>
      <c r="M27" s="114">
        <f>H27+IntDM</f>
        <v>-3</v>
      </c>
      <c r="N27" s="122">
        <f>H27+EduDM</f>
        <v>-3</v>
      </c>
      <c r="O27" s="118">
        <f>H27+SocDM</f>
        <v>-3</v>
      </c>
      <c r="P27" s="1"/>
      <c r="Q27" s="88" t="s">
        <v>83</v>
      </c>
      <c r="R27" s="43"/>
      <c r="S27" s="105"/>
      <c r="T27" s="121"/>
      <c r="U27" s="43"/>
      <c r="V27" s="105"/>
      <c r="W27" s="37" t="s">
        <v>62</v>
      </c>
      <c r="X27" s="93">
        <v>0.0</v>
      </c>
      <c r="Y27" s="92">
        <f>X27+IF(W27="--",IF(COUNTIF($W$19:$W$29,"&lt;&gt;--")&gt;0,0,Unskilled),W27)</f>
        <v>-3</v>
      </c>
      <c r="Z27" s="106"/>
      <c r="AA27" s="107">
        <f>Y27+StrDM</f>
        <v>-3</v>
      </c>
      <c r="AB27" s="108">
        <f>Y27+DexDM</f>
        <v>-3</v>
      </c>
      <c r="AC27" s="108">
        <f>Y27+EndDM</f>
        <v>-3</v>
      </c>
      <c r="AD27" s="110">
        <f>Y27+IntDM</f>
        <v>-3</v>
      </c>
      <c r="AE27" s="92">
        <f>Y27+EduDM</f>
        <v>-3</v>
      </c>
      <c r="AF27" s="111">
        <f>Y27+SocDM</f>
        <v>-3</v>
      </c>
      <c r="AG27" s="1"/>
    </row>
    <row r="28" ht="16.5" customHeight="1">
      <c r="A28" s="1"/>
      <c r="B28" s="116" t="s">
        <v>93</v>
      </c>
      <c r="C28" s="112" t="s">
        <v>96</v>
      </c>
      <c r="D28" s="43"/>
      <c r="E28" s="105"/>
      <c r="F28" s="37" t="s">
        <v>62</v>
      </c>
      <c r="G28" s="93">
        <v>0.0</v>
      </c>
      <c r="H28" s="92">
        <f>G28+IF(F28="--",IF(COUNTIF($F$25:$F$30,"&lt;&gt;--")&gt;0,0,Unskilled),F28)</f>
        <v>-3</v>
      </c>
      <c r="I28" s="106"/>
      <c r="J28" s="107">
        <f>H28+StrDM</f>
        <v>-3</v>
      </c>
      <c r="K28" s="114">
        <f>H28+DexDM</f>
        <v>-3</v>
      </c>
      <c r="L28" s="108">
        <f>H28+EndDM</f>
        <v>-3</v>
      </c>
      <c r="M28" s="109">
        <f>H28+IntDM</f>
        <v>-3</v>
      </c>
      <c r="N28" s="92">
        <f>H28+EduDM</f>
        <v>-3</v>
      </c>
      <c r="O28" s="111">
        <f>H28+SocDM</f>
        <v>-3</v>
      </c>
      <c r="P28" s="1"/>
      <c r="Q28" s="88" t="s">
        <v>83</v>
      </c>
      <c r="R28" s="43"/>
      <c r="S28" s="105"/>
      <c r="T28" s="121"/>
      <c r="U28" s="43"/>
      <c r="V28" s="105"/>
      <c r="W28" s="37" t="s">
        <v>62</v>
      </c>
      <c r="X28" s="93">
        <v>0.0</v>
      </c>
      <c r="Y28" s="92">
        <f>X28+IF(W28="--",IF(COUNTIF($W$19:$W$29,"&lt;&gt;--")&gt;0,0,Unskilled),W28)</f>
        <v>-3</v>
      </c>
      <c r="Z28" s="106"/>
      <c r="AA28" s="107">
        <f>Y28+StrDM</f>
        <v>-3</v>
      </c>
      <c r="AB28" s="108">
        <f>Y28+DexDM</f>
        <v>-3</v>
      </c>
      <c r="AC28" s="108">
        <f>Y28+EndDM</f>
        <v>-3</v>
      </c>
      <c r="AD28" s="110">
        <f>Y28+IntDM</f>
        <v>-3</v>
      </c>
      <c r="AE28" s="92">
        <f>Y28+EduDM</f>
        <v>-3</v>
      </c>
      <c r="AF28" s="111">
        <f>Y28+SocDM</f>
        <v>-3</v>
      </c>
      <c r="AG28" s="1"/>
    </row>
    <row r="29" ht="16.5" customHeight="1">
      <c r="A29" s="1"/>
      <c r="B29" s="116" t="s">
        <v>93</v>
      </c>
      <c r="C29" s="112" t="s">
        <v>97</v>
      </c>
      <c r="D29" s="43"/>
      <c r="E29" s="105"/>
      <c r="F29" s="37" t="s">
        <v>62</v>
      </c>
      <c r="G29" s="93">
        <v>0.0</v>
      </c>
      <c r="H29" s="92">
        <f>G29+IF(F29="--",IF(COUNTIF($F$25:$F$30,"&lt;&gt;--")&gt;0,0,Unskilled),F29)</f>
        <v>-3</v>
      </c>
      <c r="I29" s="106"/>
      <c r="J29" s="107">
        <f>H29+StrDM</f>
        <v>-3</v>
      </c>
      <c r="K29" s="108">
        <f>H29+DexDM</f>
        <v>-3</v>
      </c>
      <c r="L29" s="110">
        <f>H29+EndDM</f>
        <v>-3</v>
      </c>
      <c r="M29" s="92">
        <f>H29+IntDM</f>
        <v>-3</v>
      </c>
      <c r="N29" s="123">
        <f>H29+EduDM</f>
        <v>-3</v>
      </c>
      <c r="O29" s="118">
        <f>H29+SocDM</f>
        <v>-3</v>
      </c>
      <c r="P29" s="1"/>
      <c r="Q29" s="88" t="s">
        <v>83</v>
      </c>
      <c r="R29" s="43"/>
      <c r="S29" s="105"/>
      <c r="T29" s="121"/>
      <c r="U29" s="43"/>
      <c r="V29" s="105"/>
      <c r="W29" s="37" t="s">
        <v>62</v>
      </c>
      <c r="X29" s="93">
        <v>0.0</v>
      </c>
      <c r="Y29" s="92">
        <f>X29+IF(W29="--",IF(COUNTIF($W$19:$W$29,"&lt;&gt;--")&gt;0,0,Unskilled),W29)</f>
        <v>-3</v>
      </c>
      <c r="Z29" s="106"/>
      <c r="AA29" s="107">
        <f>Y29+StrDM</f>
        <v>-3</v>
      </c>
      <c r="AB29" s="108">
        <f>Y29+DexDM</f>
        <v>-3</v>
      </c>
      <c r="AC29" s="108">
        <f>Y29+EndDM</f>
        <v>-3</v>
      </c>
      <c r="AD29" s="110">
        <f>Y29+IntDM</f>
        <v>-3</v>
      </c>
      <c r="AE29" s="92">
        <f>Y29+EduDM</f>
        <v>-3</v>
      </c>
      <c r="AF29" s="111">
        <f>Y29+SocDM</f>
        <v>-3</v>
      </c>
      <c r="AG29" s="1"/>
    </row>
    <row r="30" ht="16.5" customHeight="1">
      <c r="A30" s="1"/>
      <c r="B30" s="116" t="s">
        <v>93</v>
      </c>
      <c r="C30" s="112" t="s">
        <v>98</v>
      </c>
      <c r="D30" s="43"/>
      <c r="E30" s="105"/>
      <c r="F30" s="37" t="s">
        <v>62</v>
      </c>
      <c r="G30" s="93">
        <v>0.0</v>
      </c>
      <c r="H30" s="92">
        <f>G30+IF(F30="--",IF(COUNTIF($F$25:$F$30,"&lt;&gt;--")&gt;0,0,Unskilled),F30)</f>
        <v>-3</v>
      </c>
      <c r="I30" s="106"/>
      <c r="J30" s="107">
        <f>H30+StrDM</f>
        <v>-3</v>
      </c>
      <c r="K30" s="108">
        <f>H30+DexDM</f>
        <v>-3</v>
      </c>
      <c r="L30" s="110">
        <f>H30+EndDM</f>
        <v>-3</v>
      </c>
      <c r="M30" s="92">
        <f>H30+IntDM</f>
        <v>-3</v>
      </c>
      <c r="N30" s="92">
        <f>H30+EduDM</f>
        <v>-3</v>
      </c>
      <c r="O30" s="111">
        <f>H30+SocDM</f>
        <v>-3</v>
      </c>
      <c r="P30" s="1"/>
      <c r="Q30" s="88" t="s">
        <v>99</v>
      </c>
      <c r="R30" s="43"/>
      <c r="S30" s="43"/>
      <c r="T30" s="43"/>
      <c r="U30" s="43"/>
      <c r="V30" s="105"/>
      <c r="W30" s="37" t="s">
        <v>62</v>
      </c>
      <c r="X30" s="93">
        <v>0.0</v>
      </c>
      <c r="Y30" s="92">
        <f>X30+IF(W30="--",Unskilled,W30)</f>
        <v>-3</v>
      </c>
      <c r="Z30" s="106"/>
      <c r="AA30" s="107">
        <f>Y30+StrDM</f>
        <v>-3</v>
      </c>
      <c r="AB30" s="108">
        <f>Y30+DexDM</f>
        <v>-3</v>
      </c>
      <c r="AC30" s="108">
        <f>Y30+EndDM</f>
        <v>-3</v>
      </c>
      <c r="AD30" s="108">
        <f>Y30+IntDM</f>
        <v>-3</v>
      </c>
      <c r="AE30" s="110">
        <f>Y30+EduDM</f>
        <v>-3</v>
      </c>
      <c r="AF30" s="92">
        <f>Y30+SocDM</f>
        <v>-3</v>
      </c>
      <c r="AG30" s="1"/>
    </row>
    <row r="31" ht="16.5" customHeight="1">
      <c r="A31" s="1"/>
      <c r="B31" s="88" t="s">
        <v>100</v>
      </c>
      <c r="C31" s="43"/>
      <c r="D31" s="43"/>
      <c r="E31" s="105"/>
      <c r="F31" s="37" t="s">
        <v>62</v>
      </c>
      <c r="G31" s="93">
        <v>0.0</v>
      </c>
      <c r="H31" s="92">
        <f>G31+IF(F31="--",Unskilled,F31)</f>
        <v>-3</v>
      </c>
      <c r="I31" s="106"/>
      <c r="J31" s="107">
        <f>H31+StrDM</f>
        <v>-3</v>
      </c>
      <c r="K31" s="108">
        <f>H31+DexDM</f>
        <v>-3</v>
      </c>
      <c r="L31" s="108">
        <f>H31+EndDM</f>
        <v>-3</v>
      </c>
      <c r="M31" s="120">
        <f>H31+IntDM</f>
        <v>-3</v>
      </c>
      <c r="N31" s="92">
        <f>H31+EduDM</f>
        <v>-3</v>
      </c>
      <c r="O31" s="111">
        <f>H31+SocDM</f>
        <v>-3</v>
      </c>
      <c r="P31" s="1"/>
      <c r="Q31" s="88" t="s">
        <v>101</v>
      </c>
      <c r="R31" s="43"/>
      <c r="S31" s="43"/>
      <c r="T31" s="43"/>
      <c r="U31" s="43"/>
      <c r="V31" s="105"/>
      <c r="W31" s="37" t="s">
        <v>62</v>
      </c>
      <c r="X31" s="93">
        <v>0.0</v>
      </c>
      <c r="Y31" s="92">
        <f>X31+IF(W31="--",Unskilled,W31)</f>
        <v>-3</v>
      </c>
      <c r="Z31" s="106"/>
      <c r="AA31" s="107">
        <f>Y31+StrDM</f>
        <v>-3</v>
      </c>
      <c r="AB31" s="108">
        <f>Y31+DexDM</f>
        <v>-3</v>
      </c>
      <c r="AC31" s="110">
        <f>Y31+EndDM</f>
        <v>-3</v>
      </c>
      <c r="AD31" s="92">
        <f>Y31+IntDM</f>
        <v>-3</v>
      </c>
      <c r="AE31" s="92">
        <f>Y31+EduDM</f>
        <v>-3</v>
      </c>
      <c r="AF31" s="111">
        <f>Y31+SocDM</f>
        <v>-3</v>
      </c>
      <c r="AG31" s="1"/>
    </row>
    <row r="32" ht="16.5" customHeight="1">
      <c r="A32" s="1"/>
      <c r="B32" s="88" t="s">
        <v>102</v>
      </c>
      <c r="C32" s="43"/>
      <c r="D32" s="43"/>
      <c r="E32" s="105"/>
      <c r="F32" s="37" t="s">
        <v>62</v>
      </c>
      <c r="G32" s="93">
        <v>0.0</v>
      </c>
      <c r="H32" s="92">
        <f>G32+IF(F32="--",IF(COUNTIF($F$32:$F$35,"&lt;&gt;--")&gt;0,0,Unskilled),F32)</f>
        <v>-3</v>
      </c>
      <c r="I32" s="106"/>
      <c r="J32" s="107">
        <f>H32+StrDM</f>
        <v>-3</v>
      </c>
      <c r="K32" s="108">
        <f>H32+DexDM</f>
        <v>-3</v>
      </c>
      <c r="L32" s="108">
        <f>H32+EndDM</f>
        <v>-3</v>
      </c>
      <c r="M32" s="108">
        <f>H32+IntDM</f>
        <v>-3</v>
      </c>
      <c r="N32" s="108">
        <f>H32+EduDM</f>
        <v>-3</v>
      </c>
      <c r="O32" s="118">
        <f>H32+SocDM</f>
        <v>-3</v>
      </c>
      <c r="P32" s="1"/>
      <c r="Q32" s="88" t="s">
        <v>103</v>
      </c>
      <c r="R32" s="43"/>
      <c r="S32" s="43"/>
      <c r="T32" s="43"/>
      <c r="U32" s="43"/>
      <c r="V32" s="105"/>
      <c r="W32" s="37" t="s">
        <v>62</v>
      </c>
      <c r="X32" s="93">
        <v>0.0</v>
      </c>
      <c r="Y32" s="92">
        <f>X32+IF(W32="--",Unskilled,W32)</f>
        <v>-3</v>
      </c>
      <c r="Z32" s="106"/>
      <c r="AA32" s="107">
        <f>Y32+StrDM</f>
        <v>-3</v>
      </c>
      <c r="AB32" s="108">
        <f>Y32+DexDM</f>
        <v>-3</v>
      </c>
      <c r="AC32" s="108">
        <f>Y32+EndDM</f>
        <v>-3</v>
      </c>
      <c r="AD32" s="110">
        <f>Y32+IntDM</f>
        <v>-3</v>
      </c>
      <c r="AE32" s="92">
        <f>Y32+EduDM</f>
        <v>-3</v>
      </c>
      <c r="AF32" s="111">
        <f>Y32+SocDM</f>
        <v>-3</v>
      </c>
      <c r="AG32" s="1"/>
    </row>
    <row r="33" ht="16.5" customHeight="1">
      <c r="A33" s="1"/>
      <c r="B33" s="116" t="s">
        <v>102</v>
      </c>
      <c r="C33" s="112" t="s">
        <v>55</v>
      </c>
      <c r="D33" s="43"/>
      <c r="E33" s="105"/>
      <c r="F33" s="37" t="s">
        <v>62</v>
      </c>
      <c r="G33" s="93">
        <v>0.0</v>
      </c>
      <c r="H33" s="92">
        <f>G33+IF(F33="--",IF(COUNTIF($F$32:$F$35,"&lt;&gt;--")&gt;0,0,Unskilled),F33)</f>
        <v>-3</v>
      </c>
      <c r="I33" s="106"/>
      <c r="J33" s="71">
        <f>H33+StrDM</f>
        <v>-3</v>
      </c>
      <c r="K33" s="92">
        <f>H33+DexDM</f>
        <v>-3</v>
      </c>
      <c r="L33" s="117">
        <f>H33+EndDM</f>
        <v>-3</v>
      </c>
      <c r="M33" s="108">
        <f>H33+IntDM</f>
        <v>-3</v>
      </c>
      <c r="N33" s="108">
        <f>H33+EduDM</f>
        <v>-3</v>
      </c>
      <c r="O33" s="118">
        <f>H33+SocDM</f>
        <v>-3</v>
      </c>
      <c r="P33" s="1"/>
      <c r="Q33" s="88" t="s">
        <v>104</v>
      </c>
      <c r="R33" s="43"/>
      <c r="S33" s="43"/>
      <c r="T33" s="43"/>
      <c r="U33" s="43"/>
      <c r="V33" s="105"/>
      <c r="W33" s="37" t="s">
        <v>62</v>
      </c>
      <c r="X33" s="93">
        <v>0.0</v>
      </c>
      <c r="Y33" s="92">
        <f>X33+IF(W33="--",IF(COUNTIF($W$33:$W$37,"&lt;&gt;--")&gt;0,0,Unskilled),W33)</f>
        <v>-3</v>
      </c>
      <c r="Z33" s="106"/>
      <c r="AA33" s="92">
        <f>Y33+StrDM</f>
        <v>-3</v>
      </c>
      <c r="AB33" s="92">
        <f>Y33+DexDM</f>
        <v>-3</v>
      </c>
      <c r="AC33" s="117">
        <f>Y33+EndDM</f>
        <v>-3</v>
      </c>
      <c r="AD33" s="108">
        <f>Y33+IntDM</f>
        <v>-3</v>
      </c>
      <c r="AE33" s="108">
        <f>Y33+EduDM</f>
        <v>-3</v>
      </c>
      <c r="AF33" s="118">
        <f>Y33+SocDM</f>
        <v>-3</v>
      </c>
      <c r="AG33" s="1"/>
    </row>
    <row r="34" ht="16.5" customHeight="1">
      <c r="A34" s="1"/>
      <c r="B34" s="116" t="s">
        <v>102</v>
      </c>
      <c r="C34" s="112" t="s">
        <v>60</v>
      </c>
      <c r="D34" s="43"/>
      <c r="E34" s="105"/>
      <c r="F34" s="37" t="s">
        <v>62</v>
      </c>
      <c r="G34" s="93">
        <v>0.0</v>
      </c>
      <c r="H34" s="92">
        <f>G34+IF(F34="--",IF(COUNTIF($F$32:$F$35,"&lt;&gt;--")&gt;0,0,Unskilled),F34)</f>
        <v>-3</v>
      </c>
      <c r="I34" s="106"/>
      <c r="J34" s="107">
        <f>H34+StrDM</f>
        <v>-3</v>
      </c>
      <c r="K34" s="110">
        <f>H34+DexDM</f>
        <v>-3</v>
      </c>
      <c r="L34" s="92">
        <f>H34+EndDM</f>
        <v>-3</v>
      </c>
      <c r="M34" s="117">
        <f>H34+IntDM</f>
        <v>-3</v>
      </c>
      <c r="N34" s="108">
        <f>H34+EduDM</f>
        <v>-3</v>
      </c>
      <c r="O34" s="118">
        <f>H34+SocDM</f>
        <v>-3</v>
      </c>
      <c r="P34" s="1"/>
      <c r="Q34" s="88" t="s">
        <v>104</v>
      </c>
      <c r="R34" s="43"/>
      <c r="S34" s="105"/>
      <c r="T34" s="112" t="s">
        <v>105</v>
      </c>
      <c r="U34" s="43"/>
      <c r="V34" s="105"/>
      <c r="W34" s="37" t="s">
        <v>62</v>
      </c>
      <c r="X34" s="93">
        <v>0.0</v>
      </c>
      <c r="Y34" s="92">
        <f>X34+IF(W34="--",IF(COUNTIF($W$33:$W$37,"&lt;&gt;--")&gt;0,0,Unskilled),W34)</f>
        <v>-3</v>
      </c>
      <c r="Z34" s="106"/>
      <c r="AA34" s="92">
        <f>Y34+StrDM</f>
        <v>-3</v>
      </c>
      <c r="AB34" s="92">
        <f>Y34+DexDM</f>
        <v>-3</v>
      </c>
      <c r="AC34" s="117">
        <f>Y34+EndDM</f>
        <v>-3</v>
      </c>
      <c r="AD34" s="108">
        <f>Y34+IntDM</f>
        <v>-3</v>
      </c>
      <c r="AE34" s="108">
        <f>Y34+EduDM</f>
        <v>-3</v>
      </c>
      <c r="AF34" s="118">
        <f>Y34+SocDM</f>
        <v>-3</v>
      </c>
      <c r="AG34" s="1"/>
    </row>
    <row r="35" ht="16.5" customHeight="1">
      <c r="A35" s="1"/>
      <c r="B35" s="116" t="s">
        <v>102</v>
      </c>
      <c r="C35" s="112" t="s">
        <v>48</v>
      </c>
      <c r="D35" s="43"/>
      <c r="E35" s="105"/>
      <c r="F35" s="37" t="s">
        <v>62</v>
      </c>
      <c r="G35" s="93">
        <v>0.0</v>
      </c>
      <c r="H35" s="92">
        <f>G35+IF(F35="--",IF(COUNTIF($F$32:$F$35,"&lt;&gt;--")&gt;0,0,Unskilled),F35)</f>
        <v>-3</v>
      </c>
      <c r="I35" s="106"/>
      <c r="J35" s="92">
        <f>H35+StrDM</f>
        <v>-3</v>
      </c>
      <c r="K35" s="117">
        <f>H35+DexDM</f>
        <v>-3</v>
      </c>
      <c r="L35" s="108">
        <f>H35+EndDM</f>
        <v>-3</v>
      </c>
      <c r="M35" s="108">
        <f>H35+IntDM</f>
        <v>-3</v>
      </c>
      <c r="N35" s="108">
        <f>H35+EduDM</f>
        <v>-3</v>
      </c>
      <c r="O35" s="118">
        <f>H35+SocDM</f>
        <v>-3</v>
      </c>
      <c r="P35" s="1"/>
      <c r="Q35" s="88" t="s">
        <v>104</v>
      </c>
      <c r="R35" s="43"/>
      <c r="S35" s="105"/>
      <c r="T35" s="112" t="s">
        <v>106</v>
      </c>
      <c r="U35" s="43"/>
      <c r="V35" s="105"/>
      <c r="W35" s="37" t="s">
        <v>62</v>
      </c>
      <c r="X35" s="93">
        <v>0.0</v>
      </c>
      <c r="Y35" s="92">
        <f>X35+IF(W35="--",IF(COUNTIF($W$33:$W$37,"&lt;&gt;--")&gt;0,0,Unskilled),W35)</f>
        <v>-3</v>
      </c>
      <c r="Z35" s="106"/>
      <c r="AA35" s="92">
        <f>Y35+StrDM</f>
        <v>-3</v>
      </c>
      <c r="AB35" s="92">
        <f>Y35+DexDM</f>
        <v>-3</v>
      </c>
      <c r="AC35" s="117">
        <f>Y35+EndDM</f>
        <v>-3</v>
      </c>
      <c r="AD35" s="108">
        <f>Y35+IntDM</f>
        <v>-3</v>
      </c>
      <c r="AE35" s="108">
        <f>Y35+EduDM</f>
        <v>-3</v>
      </c>
      <c r="AF35" s="118">
        <f>Y35+SocDM</f>
        <v>-3</v>
      </c>
      <c r="AG35" s="1"/>
    </row>
    <row r="36" ht="16.5" customHeight="1">
      <c r="A36" s="1"/>
      <c r="B36" s="88" t="s">
        <v>107</v>
      </c>
      <c r="C36" s="43"/>
      <c r="D36" s="43"/>
      <c r="E36" s="105"/>
      <c r="F36" s="37" t="s">
        <v>62</v>
      </c>
      <c r="G36" s="93">
        <v>0.0</v>
      </c>
      <c r="H36" s="92">
        <f>G36+IF(F36="--",Unskilled,F36)</f>
        <v>-3</v>
      </c>
      <c r="I36" s="106"/>
      <c r="J36" s="107">
        <f>H36+StrDM</f>
        <v>-3</v>
      </c>
      <c r="K36" s="108">
        <f>H36+DexDM</f>
        <v>-3</v>
      </c>
      <c r="L36" s="110">
        <f>H36+EndDM</f>
        <v>-3</v>
      </c>
      <c r="M36" s="92">
        <f>H36+IntDM</f>
        <v>-3</v>
      </c>
      <c r="N36" s="124">
        <f>H36+EduDM</f>
        <v>-3</v>
      </c>
      <c r="O36" s="92">
        <f>H36+SocDM</f>
        <v>-3</v>
      </c>
      <c r="P36" s="1"/>
      <c r="Q36" s="88" t="s">
        <v>104</v>
      </c>
      <c r="R36" s="43"/>
      <c r="S36" s="105"/>
      <c r="T36" s="112" t="s">
        <v>108</v>
      </c>
      <c r="U36" s="43"/>
      <c r="V36" s="105"/>
      <c r="W36" s="37" t="s">
        <v>62</v>
      </c>
      <c r="X36" s="93">
        <v>0.0</v>
      </c>
      <c r="Y36" s="92">
        <f>X36+IF(W36="--",IF(COUNTIF($W$33:$W$37,"&lt;&gt;--")&gt;0,0,Unskilled),W36)</f>
        <v>-3</v>
      </c>
      <c r="Z36" s="106"/>
      <c r="AA36" s="92">
        <f>Y36+StrDM</f>
        <v>-3</v>
      </c>
      <c r="AB36" s="92">
        <f>Y36+DexDM</f>
        <v>-3</v>
      </c>
      <c r="AC36" s="117">
        <f>Y36+EndDM</f>
        <v>-3</v>
      </c>
      <c r="AD36" s="108">
        <f>Y36+IntDM</f>
        <v>-3</v>
      </c>
      <c r="AE36" s="108">
        <f>Y36+EduDM</f>
        <v>-3</v>
      </c>
      <c r="AF36" s="118">
        <f>Y36+SocDM</f>
        <v>-3</v>
      </c>
      <c r="AG36" s="1"/>
    </row>
    <row r="37" ht="16.5" customHeight="1">
      <c r="A37" s="1"/>
      <c r="B37" s="88" t="s">
        <v>109</v>
      </c>
      <c r="C37" s="43"/>
      <c r="D37" s="43"/>
      <c r="E37" s="105"/>
      <c r="F37" s="37" t="s">
        <v>62</v>
      </c>
      <c r="G37" s="93">
        <v>0.0</v>
      </c>
      <c r="H37" s="92">
        <f>G37+IF(F37="--",Unskilled,F37)</f>
        <v>-3</v>
      </c>
      <c r="I37" s="106"/>
      <c r="J37" s="107">
        <f>H37+StrDM</f>
        <v>-3</v>
      </c>
      <c r="K37" s="110">
        <f>H37+DexDM</f>
        <v>-3</v>
      </c>
      <c r="L37" s="92">
        <f>H37+EndDM</f>
        <v>-3</v>
      </c>
      <c r="M37" s="117">
        <f>H37+IntDM</f>
        <v>-3</v>
      </c>
      <c r="N37" s="110">
        <f>H37+EduDM</f>
        <v>-3</v>
      </c>
      <c r="O37" s="92">
        <f>H37+SocDM</f>
        <v>-3</v>
      </c>
      <c r="P37" s="1"/>
      <c r="Q37" s="88" t="s">
        <v>104</v>
      </c>
      <c r="R37" s="43"/>
      <c r="S37" s="105"/>
      <c r="T37" s="112" t="s">
        <v>110</v>
      </c>
      <c r="U37" s="43"/>
      <c r="V37" s="105"/>
      <c r="W37" s="37" t="s">
        <v>62</v>
      </c>
      <c r="X37" s="93">
        <v>0.0</v>
      </c>
      <c r="Y37" s="92">
        <f>X37+IF(W37="--",IF(COUNTIF($W$33:$W$37,"&lt;&gt;--")&gt;0,0,Unskilled),W37)</f>
        <v>-3</v>
      </c>
      <c r="Z37" s="106"/>
      <c r="AA37" s="92">
        <f>Y37+StrDM</f>
        <v>-3</v>
      </c>
      <c r="AB37" s="92">
        <f>Y37+DexDM</f>
        <v>-3</v>
      </c>
      <c r="AC37" s="117">
        <f>Y37+EndDM</f>
        <v>-3</v>
      </c>
      <c r="AD37" s="108">
        <f>Y37+IntDM</f>
        <v>-3</v>
      </c>
      <c r="AE37" s="108">
        <f>Y37+EduDM</f>
        <v>-3</v>
      </c>
      <c r="AF37" s="118">
        <f>Y37+SocDM</f>
        <v>-3</v>
      </c>
      <c r="AG37" s="1"/>
    </row>
    <row r="38" ht="16.5" customHeight="1">
      <c r="A38" s="1"/>
      <c r="B38" s="88" t="s">
        <v>111</v>
      </c>
      <c r="C38" s="43"/>
      <c r="D38" s="43"/>
      <c r="E38" s="105"/>
      <c r="F38" s="37" t="s">
        <v>62</v>
      </c>
      <c r="G38" s="93">
        <v>0.0</v>
      </c>
      <c r="H38" s="92">
        <f>G38+IF(F38="--",Unskilled,F38)</f>
        <v>-3</v>
      </c>
      <c r="I38" s="106"/>
      <c r="J38" s="71">
        <f>H38+StrDM</f>
        <v>-3</v>
      </c>
      <c r="K38" s="92">
        <f>H38+DexDM</f>
        <v>-3</v>
      </c>
      <c r="L38" s="124">
        <f>H38+EndDM</f>
        <v>-3</v>
      </c>
      <c r="M38" s="92">
        <f>H38+IntDM</f>
        <v>-3</v>
      </c>
      <c r="N38" s="124">
        <f>H38+EduDM</f>
        <v>-3</v>
      </c>
      <c r="O38" s="92">
        <f>H38+SocDM</f>
        <v>-3</v>
      </c>
      <c r="P38" s="1"/>
      <c r="Q38" s="88" t="s">
        <v>112</v>
      </c>
      <c r="R38" s="43"/>
      <c r="S38" s="43"/>
      <c r="T38" s="43"/>
      <c r="U38" s="43"/>
      <c r="V38" s="105"/>
      <c r="W38" s="37" t="s">
        <v>62</v>
      </c>
      <c r="X38" s="93">
        <v>0.0</v>
      </c>
      <c r="Y38" s="92">
        <f>X38+IF(W38="--",Unskilled,W38)</f>
        <v>-3</v>
      </c>
      <c r="Z38" s="106"/>
      <c r="AA38" s="107">
        <f>Y38+StrDM</f>
        <v>-3</v>
      </c>
      <c r="AB38" s="108">
        <f>Y38+DexDM</f>
        <v>-3</v>
      </c>
      <c r="AC38" s="110">
        <f>Y38+EndDM</f>
        <v>-3</v>
      </c>
      <c r="AD38" s="92">
        <f>Y38+IntDM</f>
        <v>-3</v>
      </c>
      <c r="AE38" s="92">
        <f>Y38+EduDM</f>
        <v>-3</v>
      </c>
      <c r="AF38" s="111">
        <f>Y38+SocDM</f>
        <v>-3</v>
      </c>
      <c r="AG38" s="1"/>
    </row>
    <row r="39" ht="16.5" customHeight="1">
      <c r="A39" s="1"/>
      <c r="B39" s="88" t="s">
        <v>113</v>
      </c>
      <c r="C39" s="43"/>
      <c r="D39" s="43"/>
      <c r="E39" s="105"/>
      <c r="F39" s="37" t="s">
        <v>62</v>
      </c>
      <c r="G39" s="93">
        <v>0.0</v>
      </c>
      <c r="H39" s="92">
        <f>G39+IF(F39="--",Unskilled,F39)</f>
        <v>-3</v>
      </c>
      <c r="I39" s="106"/>
      <c r="J39" s="107">
        <f>H39+StrDM</f>
        <v>-3</v>
      </c>
      <c r="K39" s="108">
        <f>H39+DexDM</f>
        <v>-3</v>
      </c>
      <c r="L39" s="110">
        <f>H39+EndDM</f>
        <v>-3</v>
      </c>
      <c r="M39" s="92">
        <f>H39+IntDM</f>
        <v>-3</v>
      </c>
      <c r="N39" s="92">
        <f>H39+EduDM</f>
        <v>-3</v>
      </c>
      <c r="O39" s="125">
        <f>H39+SocDM</f>
        <v>-3</v>
      </c>
      <c r="P39" s="1"/>
      <c r="Q39" s="88" t="s">
        <v>114</v>
      </c>
      <c r="R39" s="43"/>
      <c r="S39" s="43"/>
      <c r="T39" s="43"/>
      <c r="U39" s="43"/>
      <c r="V39" s="105"/>
      <c r="W39" s="37" t="s">
        <v>62</v>
      </c>
      <c r="X39" s="93">
        <v>0.0</v>
      </c>
      <c r="Y39" s="92">
        <f>X39+IF(W39="--",Unskilled,W39)</f>
        <v>-3</v>
      </c>
      <c r="Z39" s="106"/>
      <c r="AA39" s="92">
        <f>Y39+StrDM</f>
        <v>-3</v>
      </c>
      <c r="AB39" s="117">
        <f>Y39+DexDM</f>
        <v>-3</v>
      </c>
      <c r="AC39" s="110">
        <f>Y39+EndDM</f>
        <v>-3</v>
      </c>
      <c r="AD39" s="92">
        <f>Y39+IntDM</f>
        <v>-3</v>
      </c>
      <c r="AE39" s="124">
        <f>Y39+EduDM</f>
        <v>-3</v>
      </c>
      <c r="AF39" s="92">
        <f>Y39+SocDM</f>
        <v>-3</v>
      </c>
      <c r="AG39" s="1"/>
    </row>
    <row r="40" ht="16.5" customHeight="1">
      <c r="A40" s="1"/>
      <c r="B40" s="88" t="s">
        <v>115</v>
      </c>
      <c r="C40" s="43"/>
      <c r="D40" s="43"/>
      <c r="E40" s="105"/>
      <c r="F40" s="37" t="s">
        <v>62</v>
      </c>
      <c r="G40" s="93">
        <v>0.0</v>
      </c>
      <c r="H40" s="92">
        <f>G40+IF(F40="--",IF(COUNTIF($F$40:$F$45,"&lt;&gt;--")&gt;0,0,Unskilled),F40)</f>
        <v>-3</v>
      </c>
      <c r="I40" s="106"/>
      <c r="J40" s="107">
        <f>H40+StrDM</f>
        <v>-3</v>
      </c>
      <c r="K40" s="108">
        <f>H40+DexDM</f>
        <v>-3</v>
      </c>
      <c r="L40" s="108">
        <f>H40+EndDM</f>
        <v>-3</v>
      </c>
      <c r="M40" s="108">
        <f>H40+IntDM</f>
        <v>-3</v>
      </c>
      <c r="N40" s="108">
        <f>H40+EduDM</f>
        <v>-3</v>
      </c>
      <c r="O40" s="118">
        <f>H40+SocDM</f>
        <v>-3</v>
      </c>
      <c r="P40" s="1"/>
      <c r="Q40" s="88" t="s">
        <v>116</v>
      </c>
      <c r="R40" s="43"/>
      <c r="S40" s="43"/>
      <c r="T40" s="43"/>
      <c r="U40" s="43"/>
      <c r="V40" s="105"/>
      <c r="W40" s="37" t="s">
        <v>62</v>
      </c>
      <c r="X40" s="93">
        <v>0.0</v>
      </c>
      <c r="Y40" s="92">
        <f>X40+IF(W40="--",IF(COUNTIF($W$40:$W$43,"&lt;&gt;--")&gt;0,0,Unskilled),W40)</f>
        <v>-3</v>
      </c>
      <c r="Z40" s="106"/>
      <c r="AA40" s="107">
        <f>Y40+StrDM</f>
        <v>-3</v>
      </c>
      <c r="AB40" s="108">
        <f>Y40+DexDM</f>
        <v>-3</v>
      </c>
      <c r="AC40" s="108">
        <f>Y40+EndDM</f>
        <v>-3</v>
      </c>
      <c r="AD40" s="108">
        <f>Y40+IntDM</f>
        <v>-3</v>
      </c>
      <c r="AE40" s="108">
        <f>Y40+EduDM</f>
        <v>-3</v>
      </c>
      <c r="AF40" s="118">
        <f>Y40+SocDM</f>
        <v>-3</v>
      </c>
      <c r="AG40" s="1"/>
    </row>
    <row r="41" ht="16.5" customHeight="1">
      <c r="A41" s="1"/>
      <c r="B41" s="116" t="s">
        <v>115</v>
      </c>
      <c r="C41" s="112" t="s">
        <v>117</v>
      </c>
      <c r="D41" s="43"/>
      <c r="E41" s="105"/>
      <c r="F41" s="37" t="s">
        <v>62</v>
      </c>
      <c r="G41" s="93">
        <v>0.0</v>
      </c>
      <c r="H41" s="92">
        <f>G41+IF(F41="--",IF(COUNTIF($F$40:$F$45,"&lt;&gt;--")&gt;0,0,Unskilled),F41)</f>
        <v>-3</v>
      </c>
      <c r="I41" s="106"/>
      <c r="J41" s="71">
        <f>H41+StrDM</f>
        <v>-3</v>
      </c>
      <c r="K41" s="92">
        <f>H41+DexDM</f>
        <v>-3</v>
      </c>
      <c r="L41" s="117">
        <f>H41+EndDM</f>
        <v>-3</v>
      </c>
      <c r="M41" s="108">
        <f>H41+IntDM</f>
        <v>-3</v>
      </c>
      <c r="N41" s="108">
        <f>H41+EduDM</f>
        <v>-3</v>
      </c>
      <c r="O41" s="118">
        <f>H41+SocDM</f>
        <v>-3</v>
      </c>
      <c r="P41" s="1"/>
      <c r="Q41" s="88" t="s">
        <v>116</v>
      </c>
      <c r="R41" s="43"/>
      <c r="S41" s="105"/>
      <c r="T41" s="112" t="s">
        <v>118</v>
      </c>
      <c r="U41" s="43"/>
      <c r="V41" s="105"/>
      <c r="W41" s="37" t="s">
        <v>62</v>
      </c>
      <c r="X41" s="93">
        <v>0.0</v>
      </c>
      <c r="Y41" s="92">
        <f>X41+IF(W41="--",IF(COUNTIF($W$40:$W$43,"&lt;&gt;--")&gt;0,0,Unskilled),W41)</f>
        <v>-3</v>
      </c>
      <c r="Z41" s="106"/>
      <c r="AA41" s="107">
        <f>Y41+StrDM</f>
        <v>-3</v>
      </c>
      <c r="AB41" s="108">
        <f>Y41+DexDM</f>
        <v>-3</v>
      </c>
      <c r="AC41" s="108">
        <f>Y41+EndDM</f>
        <v>-3</v>
      </c>
      <c r="AD41" s="108">
        <f>Y41+IntDM</f>
        <v>-3</v>
      </c>
      <c r="AE41" s="108">
        <f>Y41+EduDM</f>
        <v>-3</v>
      </c>
      <c r="AF41" s="118">
        <f>Y41+SocDM</f>
        <v>-3</v>
      </c>
      <c r="AG41" s="1"/>
    </row>
    <row r="42" ht="16.5" customHeight="1">
      <c r="A42" s="1"/>
      <c r="B42" s="116" t="s">
        <v>115</v>
      </c>
      <c r="C42" s="112" t="s">
        <v>119</v>
      </c>
      <c r="D42" s="43"/>
      <c r="E42" s="105"/>
      <c r="F42" s="37" t="s">
        <v>62</v>
      </c>
      <c r="G42" s="93">
        <v>0.0</v>
      </c>
      <c r="H42" s="92">
        <f>G42+IF(F42="--",IF(COUNTIF($F$40:$F$45,"&lt;&gt;--")&gt;0,0,Unskilled),F42)</f>
        <v>-3</v>
      </c>
      <c r="I42" s="106"/>
      <c r="J42" s="71">
        <f>H42+StrDM</f>
        <v>-3</v>
      </c>
      <c r="K42" s="92">
        <f>H42+DexDM</f>
        <v>-3</v>
      </c>
      <c r="L42" s="124">
        <f>H42+EndDM</f>
        <v>-3</v>
      </c>
      <c r="M42" s="92">
        <f>H42+IntDM</f>
        <v>-3</v>
      </c>
      <c r="N42" s="117">
        <f>H42+EduDM</f>
        <v>-3</v>
      </c>
      <c r="O42" s="118">
        <f>H42+SocDM</f>
        <v>-3</v>
      </c>
      <c r="P42" s="1"/>
      <c r="Q42" s="88" t="s">
        <v>116</v>
      </c>
      <c r="R42" s="43"/>
      <c r="S42" s="105"/>
      <c r="T42" s="112" t="s">
        <v>120</v>
      </c>
      <c r="U42" s="43"/>
      <c r="V42" s="105"/>
      <c r="W42" s="37" t="s">
        <v>62</v>
      </c>
      <c r="X42" s="93">
        <v>0.0</v>
      </c>
      <c r="Y42" s="92">
        <f>X42+IF(W42="--",IF(COUNTIF($W$40:$W$43,"&lt;&gt;--")&gt;0,0,Unskilled),W42)</f>
        <v>-3</v>
      </c>
      <c r="Z42" s="106"/>
      <c r="AA42" s="107">
        <f>Y42+StrDM</f>
        <v>-3</v>
      </c>
      <c r="AB42" s="108">
        <f>Y42+DexDM</f>
        <v>-3</v>
      </c>
      <c r="AC42" s="108">
        <f>Y42+EndDM</f>
        <v>-3</v>
      </c>
      <c r="AD42" s="108">
        <f>Y42+IntDM</f>
        <v>-3</v>
      </c>
      <c r="AE42" s="108">
        <f>Y42+EduDM</f>
        <v>-3</v>
      </c>
      <c r="AF42" s="118">
        <f>Y42+SocDM</f>
        <v>-3</v>
      </c>
      <c r="AG42" s="1"/>
    </row>
    <row r="43" ht="16.5" customHeight="1">
      <c r="A43" s="1"/>
      <c r="B43" s="116" t="s">
        <v>115</v>
      </c>
      <c r="C43" s="112" t="s">
        <v>121</v>
      </c>
      <c r="D43" s="43"/>
      <c r="E43" s="105"/>
      <c r="F43" s="37" t="s">
        <v>62</v>
      </c>
      <c r="G43" s="93">
        <v>0.0</v>
      </c>
      <c r="H43" s="92">
        <f>G43+IF(F43="--",IF(COUNTIF($F$40:$F$45,"&lt;&gt;--")&gt;0,0,Unskilled),F43)</f>
        <v>-3</v>
      </c>
      <c r="I43" s="106"/>
      <c r="J43" s="71">
        <f>H43+StrDM</f>
        <v>-3</v>
      </c>
      <c r="K43" s="92">
        <f>H43+DexDM</f>
        <v>-3</v>
      </c>
      <c r="L43" s="117">
        <f>H43+EndDM</f>
        <v>-3</v>
      </c>
      <c r="M43" s="108">
        <f>H43+IntDM</f>
        <v>-3</v>
      </c>
      <c r="N43" s="108">
        <f>H43+EduDM</f>
        <v>-3</v>
      </c>
      <c r="O43" s="118">
        <f>H43+SocDM</f>
        <v>-3</v>
      </c>
      <c r="P43" s="1"/>
      <c r="Q43" s="88" t="s">
        <v>116</v>
      </c>
      <c r="R43" s="43"/>
      <c r="S43" s="105"/>
      <c r="T43" s="112" t="s">
        <v>122</v>
      </c>
      <c r="U43" s="43"/>
      <c r="V43" s="105"/>
      <c r="W43" s="37" t="s">
        <v>62</v>
      </c>
      <c r="X43" s="93">
        <v>0.0</v>
      </c>
      <c r="Y43" s="92">
        <f>X43+IF(W43="--",IF(COUNTIF($W$40:$W$43,"&lt;&gt;--")&gt;0,0,Unskilled),W43)</f>
        <v>-3</v>
      </c>
      <c r="Z43" s="106"/>
      <c r="AA43" s="107">
        <f>Y43+StrDM</f>
        <v>-3</v>
      </c>
      <c r="AB43" s="108">
        <f>Y43+DexDM</f>
        <v>-3</v>
      </c>
      <c r="AC43" s="108">
        <f>Y43+EndDM</f>
        <v>-3</v>
      </c>
      <c r="AD43" s="108">
        <f>Y43+IntDM</f>
        <v>-3</v>
      </c>
      <c r="AE43" s="108">
        <f>Y43+EduDM</f>
        <v>-3</v>
      </c>
      <c r="AF43" s="118">
        <f>Y43+SocDM</f>
        <v>-3</v>
      </c>
      <c r="AG43" s="1"/>
    </row>
    <row r="44" ht="16.5" customHeight="1">
      <c r="A44" s="1"/>
      <c r="B44" s="116" t="s">
        <v>115</v>
      </c>
      <c r="C44" s="112" t="s">
        <v>123</v>
      </c>
      <c r="D44" s="43"/>
      <c r="E44" s="105"/>
      <c r="F44" s="37" t="s">
        <v>62</v>
      </c>
      <c r="G44" s="93">
        <v>0.0</v>
      </c>
      <c r="H44" s="92">
        <f>G44+IF(F44="--",IF(COUNTIF($F$40:$F$45,"&lt;&gt;--")&gt;0,0,Unskilled),F44)</f>
        <v>-3</v>
      </c>
      <c r="I44" s="106"/>
      <c r="J44" s="71">
        <f>H44+StrDM</f>
        <v>-3</v>
      </c>
      <c r="K44" s="92">
        <f>H44+DexDM</f>
        <v>-3</v>
      </c>
      <c r="L44" s="117">
        <f>H44+EndDM</f>
        <v>-3</v>
      </c>
      <c r="M44" s="108">
        <f>H44+IntDM</f>
        <v>-3</v>
      </c>
      <c r="N44" s="108">
        <f>H44+EduDM</f>
        <v>-3</v>
      </c>
      <c r="O44" s="118">
        <f>H44+SocDM</f>
        <v>-3</v>
      </c>
      <c r="P44" s="1"/>
      <c r="Q44" s="88" t="s">
        <v>124</v>
      </c>
      <c r="R44" s="43"/>
      <c r="S44" s="43"/>
      <c r="T44" s="43"/>
      <c r="U44" s="43"/>
      <c r="V44" s="105"/>
      <c r="W44" s="37" t="s">
        <v>62</v>
      </c>
      <c r="X44" s="93">
        <v>0.0</v>
      </c>
      <c r="Y44" s="92">
        <f>X44+IF(W44="--",Unskilled,W44)</f>
        <v>-3</v>
      </c>
      <c r="Z44" s="106"/>
      <c r="AA44" s="107">
        <f>Y44+StrDM</f>
        <v>-3</v>
      </c>
      <c r="AB44" s="108">
        <f>Y44+DexDM</f>
        <v>-3</v>
      </c>
      <c r="AC44" s="108">
        <f>Y44+EndDM</f>
        <v>-3</v>
      </c>
      <c r="AD44" s="108">
        <f>Y44+IntDM</f>
        <v>-3</v>
      </c>
      <c r="AE44" s="108">
        <f>Y44+EduDM</f>
        <v>-3</v>
      </c>
      <c r="AF44" s="118">
        <f>Y44+SocDM</f>
        <v>-3</v>
      </c>
      <c r="AG44" s="1"/>
    </row>
    <row r="45" ht="16.5" customHeight="1">
      <c r="A45" s="1"/>
      <c r="B45" s="116" t="s">
        <v>115</v>
      </c>
      <c r="C45" s="112" t="s">
        <v>125</v>
      </c>
      <c r="D45" s="43"/>
      <c r="E45" s="105"/>
      <c r="F45" s="37" t="s">
        <v>62</v>
      </c>
      <c r="G45" s="93">
        <v>0.0</v>
      </c>
      <c r="H45" s="92">
        <f>G45+IF(F45="--",IF(COUNTIF($F$40:$F$45,"&lt;&gt;--")&gt;0,0,Unskilled),F45)</f>
        <v>-3</v>
      </c>
      <c r="I45" s="106"/>
      <c r="J45" s="71">
        <f>H45+StrDM</f>
        <v>-3</v>
      </c>
      <c r="K45" s="92">
        <f>H45+DexDM</f>
        <v>-3</v>
      </c>
      <c r="L45" s="117">
        <f>H45+EndDM</f>
        <v>-3</v>
      </c>
      <c r="M45" s="108">
        <f>H45+IntDM</f>
        <v>-3</v>
      </c>
      <c r="N45" s="108">
        <f>H45+EduDM</f>
        <v>-3</v>
      </c>
      <c r="O45" s="118">
        <f>H45+SocDM</f>
        <v>-3</v>
      </c>
      <c r="P45" s="1"/>
      <c r="Q45" s="88" t="s">
        <v>124</v>
      </c>
      <c r="R45" s="43"/>
      <c r="S45" s="105"/>
      <c r="T45" s="112" t="s">
        <v>126</v>
      </c>
      <c r="U45" s="43"/>
      <c r="V45" s="105"/>
      <c r="W45" s="37" t="s">
        <v>62</v>
      </c>
      <c r="X45" s="93">
        <v>0.0</v>
      </c>
      <c r="Y45" s="92">
        <f>X45+IF(W45="--",Unskilled,W45)</f>
        <v>-3</v>
      </c>
      <c r="Z45" s="106"/>
      <c r="AA45" s="107">
        <f>Y45+StrDM</f>
        <v>-3</v>
      </c>
      <c r="AB45" s="108">
        <f>Y45+DexDM</f>
        <v>-3</v>
      </c>
      <c r="AC45" s="108">
        <f>Y45+EndDM</f>
        <v>-3</v>
      </c>
      <c r="AD45" s="108">
        <f>Y45+IntDM</f>
        <v>-3</v>
      </c>
      <c r="AE45" s="108">
        <f>Y45+EduDM</f>
        <v>-3</v>
      </c>
      <c r="AF45" s="118">
        <f>Y45+SocDM</f>
        <v>-3</v>
      </c>
      <c r="AG45" s="1"/>
    </row>
    <row r="46" ht="16.5" customHeight="1">
      <c r="A46" s="1"/>
      <c r="B46" s="88" t="s">
        <v>127</v>
      </c>
      <c r="C46" s="43"/>
      <c r="D46" s="43"/>
      <c r="E46" s="105"/>
      <c r="F46" s="37" t="s">
        <v>62</v>
      </c>
      <c r="G46" s="93">
        <v>0.0</v>
      </c>
      <c r="H46" s="92">
        <f>G46+IF(F46="--",IF(COUNTIF($F$46:$F$50,"&lt;&gt;--")&gt;0,0,Unskilled),F46)</f>
        <v>-3</v>
      </c>
      <c r="I46" s="106"/>
      <c r="J46" s="107">
        <f>H46+StrDM</f>
        <v>-3</v>
      </c>
      <c r="K46" s="108">
        <f>H46+DexDM</f>
        <v>-3</v>
      </c>
      <c r="L46" s="108">
        <f>H46+EndDM</f>
        <v>-3</v>
      </c>
      <c r="M46" s="108">
        <f>H46+IntDM</f>
        <v>-3</v>
      </c>
      <c r="N46" s="108">
        <f>H46+EduDM</f>
        <v>-3</v>
      </c>
      <c r="O46" s="118">
        <f>H46+SocDM</f>
        <v>-3</v>
      </c>
      <c r="P46" s="1"/>
      <c r="Q46" s="88" t="s">
        <v>124</v>
      </c>
      <c r="R46" s="43"/>
      <c r="S46" s="105"/>
      <c r="T46" s="112" t="s">
        <v>128</v>
      </c>
      <c r="U46" s="43"/>
      <c r="V46" s="105"/>
      <c r="W46" s="37" t="s">
        <v>62</v>
      </c>
      <c r="X46" s="93">
        <v>0.0</v>
      </c>
      <c r="Y46" s="92">
        <f>X46+IF(W46="--",Unskilled,W46)</f>
        <v>-3</v>
      </c>
      <c r="Z46" s="106"/>
      <c r="AA46" s="107">
        <f>Y46+StrDM</f>
        <v>-3</v>
      </c>
      <c r="AB46" s="108">
        <f>Y46+DexDM</f>
        <v>-3</v>
      </c>
      <c r="AC46" s="108">
        <f>Y46+EndDM</f>
        <v>-3</v>
      </c>
      <c r="AD46" s="108">
        <f>Y46+IntDM</f>
        <v>-3</v>
      </c>
      <c r="AE46" s="108">
        <f>Y46+EduDM</f>
        <v>-3</v>
      </c>
      <c r="AF46" s="118">
        <f>Y46+SocDM</f>
        <v>-3</v>
      </c>
      <c r="AG46" s="1"/>
    </row>
    <row r="47" ht="16.5" customHeight="1">
      <c r="A47" s="1"/>
      <c r="B47" s="116" t="s">
        <v>127</v>
      </c>
      <c r="C47" s="112" t="s">
        <v>129</v>
      </c>
      <c r="D47" s="43"/>
      <c r="E47" s="105"/>
      <c r="F47" s="37" t="s">
        <v>62</v>
      </c>
      <c r="G47" s="93">
        <v>0.0</v>
      </c>
      <c r="H47" s="92">
        <f>G47+IF(F47="--",IF(COUNTIF($F$46:$F$50,"&lt;&gt;--")&gt;0,0,Unskilled),F47)</f>
        <v>-3</v>
      </c>
      <c r="I47" s="106"/>
      <c r="J47" s="107">
        <f>H47+StrDM</f>
        <v>-3</v>
      </c>
      <c r="K47" s="108">
        <f>H47+DexDM</f>
        <v>-3</v>
      </c>
      <c r="L47" s="110">
        <f>H47+EndDM</f>
        <v>-3</v>
      </c>
      <c r="M47" s="92">
        <f>H47+IntDM</f>
        <v>-3</v>
      </c>
      <c r="N47" s="92">
        <f>H47+EduDM</f>
        <v>-3</v>
      </c>
      <c r="O47" s="111">
        <f>H47+SocDM</f>
        <v>-3</v>
      </c>
      <c r="P47" s="1"/>
      <c r="Q47" s="88" t="s">
        <v>124</v>
      </c>
      <c r="R47" s="43"/>
      <c r="S47" s="105"/>
      <c r="T47" s="112" t="s">
        <v>130</v>
      </c>
      <c r="U47" s="43"/>
      <c r="V47" s="105"/>
      <c r="W47" s="37" t="s">
        <v>62</v>
      </c>
      <c r="X47" s="93">
        <v>0.0</v>
      </c>
      <c r="Y47" s="92">
        <f>X47+IF(W47="--",Unskilled,W47)</f>
        <v>-3</v>
      </c>
      <c r="Z47" s="106"/>
      <c r="AA47" s="107">
        <f>Y47+StrDM</f>
        <v>-3</v>
      </c>
      <c r="AB47" s="108">
        <f>Y47+DexDM</f>
        <v>-3</v>
      </c>
      <c r="AC47" s="108">
        <f>Y47+EndDM</f>
        <v>-3</v>
      </c>
      <c r="AD47" s="108">
        <f>Y47+IntDM</f>
        <v>-3</v>
      </c>
      <c r="AE47" s="108">
        <f>Y47+EduDM</f>
        <v>-3</v>
      </c>
      <c r="AF47" s="118">
        <f>Y47+SocDM</f>
        <v>-3</v>
      </c>
      <c r="AG47" s="1"/>
    </row>
    <row r="48" ht="16.5" customHeight="1">
      <c r="A48" s="1"/>
      <c r="B48" s="116" t="s">
        <v>127</v>
      </c>
      <c r="C48" s="112" t="s">
        <v>131</v>
      </c>
      <c r="D48" s="43"/>
      <c r="E48" s="105"/>
      <c r="F48" s="37" t="s">
        <v>62</v>
      </c>
      <c r="G48" s="93">
        <v>0.0</v>
      </c>
      <c r="H48" s="92">
        <f>G48+IF(F48="--",IF(COUNTIF($F$46:$F$50,"&lt;&gt;--")&gt;0,0,Unskilled),F48)</f>
        <v>-3</v>
      </c>
      <c r="I48" s="106"/>
      <c r="J48" s="107">
        <f>H48+StrDM</f>
        <v>-3</v>
      </c>
      <c r="K48" s="108">
        <f>H48+DexDM</f>
        <v>-3</v>
      </c>
      <c r="L48" s="110">
        <f>H48+EndDM</f>
        <v>-3</v>
      </c>
      <c r="M48" s="92">
        <f>H48+IntDM</f>
        <v>-3</v>
      </c>
      <c r="N48" s="92">
        <f>H48+EduDM</f>
        <v>-3</v>
      </c>
      <c r="O48" s="111">
        <f>H48+SocDM</f>
        <v>-3</v>
      </c>
      <c r="P48" s="1"/>
      <c r="Q48" s="88" t="s">
        <v>124</v>
      </c>
      <c r="R48" s="43"/>
      <c r="S48" s="105"/>
      <c r="T48" s="112" t="s">
        <v>132</v>
      </c>
      <c r="U48" s="43"/>
      <c r="V48" s="105"/>
      <c r="W48" s="37" t="s">
        <v>62</v>
      </c>
      <c r="X48" s="93">
        <v>0.0</v>
      </c>
      <c r="Y48" s="92">
        <f>X48+IF(W48="--",Unskilled,W48)</f>
        <v>-3</v>
      </c>
      <c r="Z48" s="106"/>
      <c r="AA48" s="107">
        <f>Y48+StrDM</f>
        <v>-3</v>
      </c>
      <c r="AB48" s="108">
        <f>Y48+DexDM</f>
        <v>-3</v>
      </c>
      <c r="AC48" s="108">
        <f>Y48+EndDM</f>
        <v>-3</v>
      </c>
      <c r="AD48" s="108">
        <f>Y48+IntDM</f>
        <v>-3</v>
      </c>
      <c r="AE48" s="108">
        <f>Y48+EduDM</f>
        <v>-3</v>
      </c>
      <c r="AF48" s="118">
        <f>Y48+SocDM</f>
        <v>-3</v>
      </c>
      <c r="AG48" s="1"/>
    </row>
    <row r="49" ht="16.5" customHeight="1">
      <c r="A49" s="1"/>
      <c r="B49" s="116" t="s">
        <v>127</v>
      </c>
      <c r="C49" s="112" t="s">
        <v>133</v>
      </c>
      <c r="D49" s="43"/>
      <c r="E49" s="105"/>
      <c r="F49" s="37" t="s">
        <v>62</v>
      </c>
      <c r="G49" s="93">
        <v>0.0</v>
      </c>
      <c r="H49" s="92">
        <f>G49+IF(F49="--",IF(COUNTIF($F$46:$F$50,"&lt;&gt;--")&gt;0,0,Unskilled),F49)</f>
        <v>-3</v>
      </c>
      <c r="I49" s="106"/>
      <c r="J49" s="71">
        <f>H49+StrDM</f>
        <v>-3</v>
      </c>
      <c r="K49" s="92">
        <f>H49+DexDM</f>
        <v>-3</v>
      </c>
      <c r="L49" s="117">
        <f>H49+EndDM</f>
        <v>-3</v>
      </c>
      <c r="M49" s="108">
        <f>H49+IntDM</f>
        <v>-3</v>
      </c>
      <c r="N49" s="108">
        <f>H49+EduDM</f>
        <v>-3</v>
      </c>
      <c r="O49" s="118">
        <f>H49+SocDM</f>
        <v>-3</v>
      </c>
      <c r="P49" s="1"/>
      <c r="Q49" s="88" t="s">
        <v>124</v>
      </c>
      <c r="R49" s="43"/>
      <c r="S49" s="105"/>
      <c r="T49" s="112" t="s">
        <v>134</v>
      </c>
      <c r="U49" s="43"/>
      <c r="V49" s="105"/>
      <c r="W49" s="37" t="s">
        <v>62</v>
      </c>
      <c r="X49" s="93">
        <v>0.0</v>
      </c>
      <c r="Y49" s="92">
        <f>X49+IF(W49="--",Unskilled,W49)</f>
        <v>-3</v>
      </c>
      <c r="Z49" s="106"/>
      <c r="AA49" s="107">
        <f>Y49+StrDM</f>
        <v>-3</v>
      </c>
      <c r="AB49" s="108">
        <f>Y49+DexDM</f>
        <v>-3</v>
      </c>
      <c r="AC49" s="108">
        <f>Y49+EndDM</f>
        <v>-3</v>
      </c>
      <c r="AD49" s="108">
        <f>Y49+IntDM</f>
        <v>-3</v>
      </c>
      <c r="AE49" s="108">
        <f>Y49+EduDM</f>
        <v>-3</v>
      </c>
      <c r="AF49" s="118">
        <f>Y49+SocDM</f>
        <v>-3</v>
      </c>
      <c r="AG49" s="1"/>
    </row>
    <row r="50" ht="16.5" customHeight="1">
      <c r="A50" s="1"/>
      <c r="B50" s="116" t="s">
        <v>127</v>
      </c>
      <c r="C50" s="112" t="s">
        <v>135</v>
      </c>
      <c r="D50" s="43"/>
      <c r="E50" s="105"/>
      <c r="F50" s="37" t="s">
        <v>62</v>
      </c>
      <c r="G50" s="93">
        <v>0.0</v>
      </c>
      <c r="H50" s="92">
        <f>G50+IF(F50="--",IF(COUNTIF($F$46:$F$50,"&lt;&gt;--")&gt;0,0,Unskilled),F50)</f>
        <v>-3</v>
      </c>
      <c r="I50" s="106"/>
      <c r="J50" s="107">
        <f>H50+StrDM</f>
        <v>-3</v>
      </c>
      <c r="K50" s="108">
        <f>H50+DexDM</f>
        <v>-3</v>
      </c>
      <c r="L50" s="110">
        <f>H50+EndDM</f>
        <v>-3</v>
      </c>
      <c r="M50" s="92">
        <f>H50+IntDM</f>
        <v>-3</v>
      </c>
      <c r="N50" s="92">
        <f>H50+EduDM</f>
        <v>-3</v>
      </c>
      <c r="O50" s="111">
        <f>H50+SocDM</f>
        <v>-3</v>
      </c>
      <c r="P50" s="1"/>
      <c r="Q50" s="88" t="s">
        <v>124</v>
      </c>
      <c r="R50" s="43"/>
      <c r="S50" s="105"/>
      <c r="T50" s="112" t="s">
        <v>136</v>
      </c>
      <c r="U50" s="43"/>
      <c r="V50" s="105"/>
      <c r="W50" s="37" t="s">
        <v>62</v>
      </c>
      <c r="X50" s="93">
        <v>0.0</v>
      </c>
      <c r="Y50" s="92">
        <f>X50+IF(W50="--",Unskilled,W50)</f>
        <v>-3</v>
      </c>
      <c r="Z50" s="106"/>
      <c r="AA50" s="107">
        <f>Y50+StrDM</f>
        <v>-3</v>
      </c>
      <c r="AB50" s="108">
        <f>Y50+DexDM</f>
        <v>-3</v>
      </c>
      <c r="AC50" s="108">
        <f>Y50+EndDM</f>
        <v>-3</v>
      </c>
      <c r="AD50" s="108">
        <f>Y50+IntDM</f>
        <v>-3</v>
      </c>
      <c r="AE50" s="108">
        <f>Y50+EduDM</f>
        <v>-3</v>
      </c>
      <c r="AF50" s="118">
        <f>Y50+SocDM</f>
        <v>-3</v>
      </c>
      <c r="AG50" s="1"/>
    </row>
    <row r="51" ht="16.5" customHeight="1">
      <c r="A51" s="1"/>
      <c r="B51" s="88" t="s">
        <v>137</v>
      </c>
      <c r="C51" s="43"/>
      <c r="D51" s="43"/>
      <c r="E51" s="105"/>
      <c r="F51" s="37" t="s">
        <v>62</v>
      </c>
      <c r="G51" s="93">
        <v>0.0</v>
      </c>
      <c r="H51" s="92">
        <f>G51+IF(F51="--",IF(COUNTIF($F$51:$F$55,"&lt;&gt;--")&gt;0,0,Unskilled),F51)</f>
        <v>-3</v>
      </c>
      <c r="I51" s="106"/>
      <c r="J51" s="107">
        <f>H51+StrDM</f>
        <v>-3</v>
      </c>
      <c r="K51" s="108">
        <f>H51+DexDM</f>
        <v>-3</v>
      </c>
      <c r="L51" s="108">
        <f>H51+EndDM</f>
        <v>-3</v>
      </c>
      <c r="M51" s="108">
        <f>H51+IntDM</f>
        <v>-3</v>
      </c>
      <c r="N51" s="108">
        <f>H51+EduDM</f>
        <v>-3</v>
      </c>
      <c r="O51" s="118">
        <f>H51+SocDM</f>
        <v>-3</v>
      </c>
      <c r="P51" s="1"/>
      <c r="Q51" s="88" t="s">
        <v>124</v>
      </c>
      <c r="R51" s="43"/>
      <c r="S51" s="105"/>
      <c r="T51" s="121"/>
      <c r="U51" s="43"/>
      <c r="V51" s="105"/>
      <c r="W51" s="37" t="s">
        <v>62</v>
      </c>
      <c r="X51" s="93">
        <v>0.0</v>
      </c>
      <c r="Y51" s="92">
        <f>X51+IF(W51="--",Unskilled,W51)</f>
        <v>-3</v>
      </c>
      <c r="Z51" s="106"/>
      <c r="AA51" s="107">
        <f>Y51+StrDM</f>
        <v>-3</v>
      </c>
      <c r="AB51" s="108">
        <f>Y51+DexDM</f>
        <v>-3</v>
      </c>
      <c r="AC51" s="108">
        <f>Y51+EndDM</f>
        <v>-3</v>
      </c>
      <c r="AD51" s="108">
        <f>Y51+IntDM</f>
        <v>-3</v>
      </c>
      <c r="AE51" s="108">
        <f>Y51+EduDM</f>
        <v>-3</v>
      </c>
      <c r="AF51" s="118">
        <f>Y51+SocDM</f>
        <v>-3</v>
      </c>
      <c r="AG51" s="1"/>
    </row>
    <row r="52" ht="16.5" customHeight="1">
      <c r="A52" s="1"/>
      <c r="B52" s="116" t="s">
        <v>137</v>
      </c>
      <c r="C52" s="112" t="s">
        <v>138</v>
      </c>
      <c r="D52" s="43"/>
      <c r="E52" s="105"/>
      <c r="F52" s="37" t="s">
        <v>62</v>
      </c>
      <c r="G52" s="93">
        <v>0.0</v>
      </c>
      <c r="H52" s="92">
        <f>G52+IF(F52="--",IF(COUNTIF($F$51:$F$55,"&lt;&gt;--")&gt;0,0,Unskilled),F52)</f>
        <v>-3</v>
      </c>
      <c r="I52" s="106"/>
      <c r="J52" s="107">
        <f>H52+StrDM</f>
        <v>-3</v>
      </c>
      <c r="K52" s="108">
        <f>H52+DexDM</f>
        <v>-3</v>
      </c>
      <c r="L52" s="108">
        <f>H52+EndDM</f>
        <v>-3</v>
      </c>
      <c r="M52" s="110">
        <f>H52+IntDM</f>
        <v>-3</v>
      </c>
      <c r="N52" s="92">
        <f>H52+EduDM</f>
        <v>-3</v>
      </c>
      <c r="O52" s="111">
        <f>H52+SocDM</f>
        <v>-3</v>
      </c>
      <c r="P52" s="1"/>
      <c r="Q52" s="88" t="s">
        <v>124</v>
      </c>
      <c r="R52" s="43"/>
      <c r="S52" s="105"/>
      <c r="T52" s="121"/>
      <c r="U52" s="43"/>
      <c r="V52" s="105"/>
      <c r="W52" s="37" t="s">
        <v>62</v>
      </c>
      <c r="X52" s="93">
        <v>0.0</v>
      </c>
      <c r="Y52" s="92">
        <f>X52+IF(W52="--",Unskilled,W52)</f>
        <v>-3</v>
      </c>
      <c r="Z52" s="106"/>
      <c r="AA52" s="107">
        <f>Y52+StrDM</f>
        <v>-3</v>
      </c>
      <c r="AB52" s="108">
        <f>Y52+DexDM</f>
        <v>-3</v>
      </c>
      <c r="AC52" s="108">
        <f>Y52+EndDM</f>
        <v>-3</v>
      </c>
      <c r="AD52" s="108">
        <f>Y52+IntDM</f>
        <v>-3</v>
      </c>
      <c r="AE52" s="108">
        <f>Y52+EduDM</f>
        <v>-3</v>
      </c>
      <c r="AF52" s="118">
        <f>Y52+SocDM</f>
        <v>-3</v>
      </c>
      <c r="AG52" s="1"/>
    </row>
    <row r="53" ht="16.5" customHeight="1">
      <c r="A53" s="1"/>
      <c r="B53" s="116" t="s">
        <v>137</v>
      </c>
      <c r="C53" s="112" t="s">
        <v>139</v>
      </c>
      <c r="D53" s="43"/>
      <c r="E53" s="105"/>
      <c r="F53" s="37" t="s">
        <v>62</v>
      </c>
      <c r="G53" s="93">
        <v>0.0</v>
      </c>
      <c r="H53" s="92">
        <f>G53+IF(F53="--",IF(COUNTIF($F$51:$F$55,"&lt;&gt;--")&gt;0,0,Unskilled),F53)</f>
        <v>-3</v>
      </c>
      <c r="I53" s="106"/>
      <c r="J53" s="107">
        <f>H53+StrDM</f>
        <v>-3</v>
      </c>
      <c r="K53" s="108">
        <f>H53+DexDM</f>
        <v>-3</v>
      </c>
      <c r="L53" s="108">
        <f>H53+EndDM</f>
        <v>-3</v>
      </c>
      <c r="M53" s="110">
        <f>H53+IntDM</f>
        <v>-3</v>
      </c>
      <c r="N53" s="92">
        <f>H53+EduDM</f>
        <v>-3</v>
      </c>
      <c r="O53" s="111">
        <f>H53+SocDM</f>
        <v>-3</v>
      </c>
      <c r="P53" s="1"/>
      <c r="Q53" s="88" t="s">
        <v>140</v>
      </c>
      <c r="R53" s="43"/>
      <c r="S53" s="43"/>
      <c r="T53" s="43"/>
      <c r="U53" s="43"/>
      <c r="V53" s="105"/>
      <c r="W53" s="37" t="s">
        <v>62</v>
      </c>
      <c r="X53" s="93">
        <v>0.0</v>
      </c>
      <c r="Y53" s="92">
        <f>X53+IF(W53="--",Unskilled,W53)</f>
        <v>-3</v>
      </c>
      <c r="Z53" s="106"/>
      <c r="AA53" s="107">
        <f>Y53+StrDM</f>
        <v>-3</v>
      </c>
      <c r="AB53" s="108">
        <f>Y53+DexDM</f>
        <v>-3</v>
      </c>
      <c r="AC53" s="110">
        <f>Y53+EndDM</f>
        <v>-3</v>
      </c>
      <c r="AD53" s="92">
        <f>Y53+IntDM</f>
        <v>-3</v>
      </c>
      <c r="AE53" s="117">
        <f>Y53+EduDM</f>
        <v>-3</v>
      </c>
      <c r="AF53" s="118">
        <f>Y53+SocDM</f>
        <v>-3</v>
      </c>
      <c r="AG53" s="1"/>
    </row>
    <row r="54" ht="16.5" customHeight="1">
      <c r="A54" s="1"/>
      <c r="B54" s="116" t="s">
        <v>137</v>
      </c>
      <c r="C54" s="112" t="s">
        <v>141</v>
      </c>
      <c r="D54" s="43"/>
      <c r="E54" s="105"/>
      <c r="F54" s="37" t="s">
        <v>62</v>
      </c>
      <c r="G54" s="93">
        <v>0.0</v>
      </c>
      <c r="H54" s="92">
        <f>G54+IF(F54="--",IF(COUNTIF($F$51:$F$55,"&lt;&gt;--")&gt;0,0,Unskilled),F54)</f>
        <v>-3</v>
      </c>
      <c r="I54" s="106"/>
      <c r="J54" s="107">
        <f>H54+StrDM</f>
        <v>-3</v>
      </c>
      <c r="K54" s="108">
        <f>H54+DexDM</f>
        <v>-3</v>
      </c>
      <c r="L54" s="110">
        <f>H54+EndDM</f>
        <v>-3</v>
      </c>
      <c r="M54" s="92">
        <f>H54+IntDM</f>
        <v>-3</v>
      </c>
      <c r="N54" s="117">
        <f>H54+EduDM</f>
        <v>-3</v>
      </c>
      <c r="O54" s="118">
        <f>H54+SocDM</f>
        <v>-3</v>
      </c>
      <c r="P54" s="1"/>
      <c r="Q54" s="88" t="s">
        <v>142</v>
      </c>
      <c r="R54" s="43"/>
      <c r="S54" s="43"/>
      <c r="T54" s="43"/>
      <c r="U54" s="43"/>
      <c r="V54" s="105"/>
      <c r="W54" s="37" t="s">
        <v>62</v>
      </c>
      <c r="X54" s="93">
        <v>0.0</v>
      </c>
      <c r="Y54" s="92">
        <f>X54+IF(W54="--",IF(COUNTIF($W$54:$W$72,"&lt;&gt;--")&gt;0,0,Unskilled),W54)</f>
        <v>-3</v>
      </c>
      <c r="Z54" s="106"/>
      <c r="AA54" s="107">
        <f>Y54+StrDM</f>
        <v>-3</v>
      </c>
      <c r="AB54" s="108">
        <f>Y54+DexDM</f>
        <v>-3</v>
      </c>
      <c r="AC54" s="110">
        <f>Y54+EndDM</f>
        <v>-3</v>
      </c>
      <c r="AD54" s="92">
        <f>Y54+IntDM</f>
        <v>-3</v>
      </c>
      <c r="AE54" s="92">
        <f>Y54+EduDM</f>
        <v>-3</v>
      </c>
      <c r="AF54" s="111">
        <f>Y54+SocDM</f>
        <v>-3</v>
      </c>
      <c r="AG54" s="1"/>
    </row>
    <row r="55" ht="16.5" customHeight="1">
      <c r="A55" s="1"/>
      <c r="B55" s="116" t="s">
        <v>137</v>
      </c>
      <c r="C55" s="112" t="s">
        <v>143</v>
      </c>
      <c r="D55" s="43"/>
      <c r="E55" s="105"/>
      <c r="F55" s="37" t="s">
        <v>62</v>
      </c>
      <c r="G55" s="93">
        <v>0.0</v>
      </c>
      <c r="H55" s="92">
        <f>G55+IF(F55="--",IF(COUNTIF($F$51:$F$55,"&lt;&gt;--")&gt;0,0,Unskilled),F55)</f>
        <v>-3</v>
      </c>
      <c r="I55" s="106"/>
      <c r="J55" s="107">
        <f>H55+StrDM</f>
        <v>-3</v>
      </c>
      <c r="K55" s="108">
        <f>H55+DexDM</f>
        <v>-3</v>
      </c>
      <c r="L55" s="110">
        <f>H55+EndDM</f>
        <v>-3</v>
      </c>
      <c r="M55" s="92">
        <f>H55+IntDM</f>
        <v>-3</v>
      </c>
      <c r="N55" s="117">
        <f>H55+EduDM</f>
        <v>-3</v>
      </c>
      <c r="O55" s="118">
        <f>H55+SocDM</f>
        <v>-3</v>
      </c>
      <c r="P55" s="1"/>
      <c r="Q55" s="88" t="s">
        <v>142</v>
      </c>
      <c r="R55" s="43"/>
      <c r="S55" s="105"/>
      <c r="T55" s="112" t="s">
        <v>144</v>
      </c>
      <c r="U55" s="43"/>
      <c r="V55" s="105"/>
      <c r="W55" s="37" t="s">
        <v>62</v>
      </c>
      <c r="X55" s="93">
        <v>0.0</v>
      </c>
      <c r="Y55" s="92">
        <f>X55+IF(W55="--",IF(COUNTIF($W$54:$W$72,"&lt;&gt;--")&gt;0,0,Unskilled),W55)</f>
        <v>-3</v>
      </c>
      <c r="Z55" s="106"/>
      <c r="AA55" s="107">
        <f>Y55+StrDM</f>
        <v>-3</v>
      </c>
      <c r="AB55" s="108">
        <f>Y55+DexDM</f>
        <v>-3</v>
      </c>
      <c r="AC55" s="110">
        <f>Y55+EndDM</f>
        <v>-3</v>
      </c>
      <c r="AD55" s="92">
        <f>Y55+IntDM</f>
        <v>-3</v>
      </c>
      <c r="AE55" s="92">
        <f>Y55+EduDM</f>
        <v>-3</v>
      </c>
      <c r="AF55" s="111">
        <f>Y55+SocDM</f>
        <v>-3</v>
      </c>
      <c r="AG55" s="1"/>
    </row>
    <row r="56" ht="16.5" customHeight="1">
      <c r="A56" s="1"/>
      <c r="B56" s="88" t="s">
        <v>145</v>
      </c>
      <c r="C56" s="43"/>
      <c r="D56" s="43"/>
      <c r="E56" s="105"/>
      <c r="F56" s="37" t="s">
        <v>62</v>
      </c>
      <c r="G56" s="93">
        <v>0.0</v>
      </c>
      <c r="H56" s="92">
        <f>G56+IF(F56="--",Unskilled,F56)</f>
        <v>-3</v>
      </c>
      <c r="I56" s="106"/>
      <c r="J56" s="71">
        <f>H56+StrDM</f>
        <v>-3</v>
      </c>
      <c r="K56" s="92">
        <f>H56+DexDM</f>
        <v>-3</v>
      </c>
      <c r="L56" s="117">
        <f>H56+EndDM</f>
        <v>-3</v>
      </c>
      <c r="M56" s="110">
        <f>H56+IntDM</f>
        <v>-3</v>
      </c>
      <c r="N56" s="92">
        <f>H56+EduDM</f>
        <v>-3</v>
      </c>
      <c r="O56" s="111">
        <f>H56+SocDM</f>
        <v>-3</v>
      </c>
      <c r="P56" s="1"/>
      <c r="Q56" s="88" t="s">
        <v>142</v>
      </c>
      <c r="R56" s="43"/>
      <c r="S56" s="105"/>
      <c r="T56" s="112" t="s">
        <v>146</v>
      </c>
      <c r="U56" s="43"/>
      <c r="V56" s="105"/>
      <c r="W56" s="37" t="s">
        <v>62</v>
      </c>
      <c r="X56" s="93">
        <v>0.0</v>
      </c>
      <c r="Y56" s="92">
        <f>X56+IF(W56="--",IF(COUNTIF($W$54:$W$72,"&lt;&gt;--")&gt;0,0,Unskilled),W56)</f>
        <v>-3</v>
      </c>
      <c r="Z56" s="106"/>
      <c r="AA56" s="107">
        <f>Y56+StrDM</f>
        <v>-3</v>
      </c>
      <c r="AB56" s="108">
        <f>Y56+DexDM</f>
        <v>-3</v>
      </c>
      <c r="AC56" s="110">
        <f>Y56+EndDM</f>
        <v>-3</v>
      </c>
      <c r="AD56" s="92">
        <f>Y56+IntDM</f>
        <v>-3</v>
      </c>
      <c r="AE56" s="92">
        <f>Y56+EduDM</f>
        <v>-3</v>
      </c>
      <c r="AF56" s="111">
        <f>Y56+SocDM</f>
        <v>-3</v>
      </c>
      <c r="AG56" s="1"/>
    </row>
    <row r="57" ht="16.5" customHeight="1">
      <c r="A57" s="1"/>
      <c r="B57" s="88" t="s">
        <v>147</v>
      </c>
      <c r="C57" s="43"/>
      <c r="D57" s="43"/>
      <c r="E57" s="105"/>
      <c r="F57" s="37" t="s">
        <v>62</v>
      </c>
      <c r="G57" s="93">
        <v>0.0</v>
      </c>
      <c r="H57" s="92">
        <f>G57+IF(F57="--",IF(COUNTIF($F$57:$F$62,"&lt;&gt;--")&gt;0,0,Unskilled),F57)</f>
        <v>-3</v>
      </c>
      <c r="I57" s="106"/>
      <c r="J57" s="71">
        <f>H57+StrDM</f>
        <v>-3</v>
      </c>
      <c r="K57" s="92">
        <f>H57+DexDM</f>
        <v>-3</v>
      </c>
      <c r="L57" s="117">
        <f>H57+EndDM</f>
        <v>-3</v>
      </c>
      <c r="M57" s="108">
        <f>H57+IntDM</f>
        <v>-3</v>
      </c>
      <c r="N57" s="108">
        <f>H57+EduDM</f>
        <v>-3</v>
      </c>
      <c r="O57" s="118">
        <f>H57+SocDM</f>
        <v>-3</v>
      </c>
      <c r="P57" s="1"/>
      <c r="Q57" s="88" t="s">
        <v>142</v>
      </c>
      <c r="R57" s="43"/>
      <c r="S57" s="105"/>
      <c r="T57" s="112" t="s">
        <v>148</v>
      </c>
      <c r="U57" s="43"/>
      <c r="V57" s="105"/>
      <c r="W57" s="37" t="s">
        <v>62</v>
      </c>
      <c r="X57" s="93">
        <v>0.0</v>
      </c>
      <c r="Y57" s="92">
        <f>X57+IF(W57="--",IF(COUNTIF($W$54:$W$72,"&lt;&gt;--")&gt;0,0,Unskilled),W57)</f>
        <v>-3</v>
      </c>
      <c r="Z57" s="106"/>
      <c r="AA57" s="107">
        <f>Y57+StrDM</f>
        <v>-3</v>
      </c>
      <c r="AB57" s="108">
        <f>Y57+DexDM</f>
        <v>-3</v>
      </c>
      <c r="AC57" s="110">
        <f>Y57+EndDM</f>
        <v>-3</v>
      </c>
      <c r="AD57" s="92">
        <f>Y57+IntDM</f>
        <v>-3</v>
      </c>
      <c r="AE57" s="92">
        <f>Y57+EduDM</f>
        <v>-3</v>
      </c>
      <c r="AF57" s="111">
        <f>Y57+SocDM</f>
        <v>-3</v>
      </c>
      <c r="AG57" s="1"/>
    </row>
    <row r="58" ht="16.5" customHeight="1">
      <c r="A58" s="1"/>
      <c r="B58" s="116" t="s">
        <v>147</v>
      </c>
      <c r="C58" s="112" t="s">
        <v>149</v>
      </c>
      <c r="D58" s="43"/>
      <c r="E58" s="105"/>
      <c r="F58" s="37" t="s">
        <v>62</v>
      </c>
      <c r="G58" s="93">
        <v>0.0</v>
      </c>
      <c r="H58" s="92">
        <f>G58+IF(F58="--",IF(COUNTIF($F$57:$F$62,"&lt;&gt;--")&gt;0,0,Unskilled),F58)</f>
        <v>-3</v>
      </c>
      <c r="I58" s="106"/>
      <c r="J58" s="71">
        <f>H58+StrDM</f>
        <v>-3</v>
      </c>
      <c r="K58" s="92">
        <f>H58+DexDM</f>
        <v>-3</v>
      </c>
      <c r="L58" s="117">
        <f>H58+EndDM</f>
        <v>-3</v>
      </c>
      <c r="M58" s="108">
        <f>H58+IntDM</f>
        <v>-3</v>
      </c>
      <c r="N58" s="108">
        <f>H58+EduDM</f>
        <v>-3</v>
      </c>
      <c r="O58" s="118">
        <f>H58+SocDM</f>
        <v>-3</v>
      </c>
      <c r="P58" s="1"/>
      <c r="Q58" s="88" t="s">
        <v>142</v>
      </c>
      <c r="R58" s="43"/>
      <c r="S58" s="105"/>
      <c r="T58" s="112" t="s">
        <v>150</v>
      </c>
      <c r="U58" s="43"/>
      <c r="V58" s="105"/>
      <c r="W58" s="37" t="s">
        <v>62</v>
      </c>
      <c r="X58" s="93">
        <v>0.0</v>
      </c>
      <c r="Y58" s="92">
        <f>X58+IF(W58="--",IF(COUNTIF($W$54:$W$72,"&lt;&gt;--")&gt;0,0,Unskilled),W58)</f>
        <v>-3</v>
      </c>
      <c r="Z58" s="106"/>
      <c r="AA58" s="107">
        <f>Y58+StrDM</f>
        <v>-3</v>
      </c>
      <c r="AB58" s="108">
        <f>Y58+DexDM</f>
        <v>-3</v>
      </c>
      <c r="AC58" s="110">
        <f>Y58+EndDM</f>
        <v>-3</v>
      </c>
      <c r="AD58" s="92">
        <f>Y58+IntDM</f>
        <v>-3</v>
      </c>
      <c r="AE58" s="92">
        <f>Y58+EduDM</f>
        <v>-3</v>
      </c>
      <c r="AF58" s="111">
        <f>Y58+SocDM</f>
        <v>-3</v>
      </c>
      <c r="AG58" s="1"/>
    </row>
    <row r="59" ht="16.5" customHeight="1">
      <c r="A59" s="1"/>
      <c r="B59" s="116" t="s">
        <v>147</v>
      </c>
      <c r="C59" s="112" t="s">
        <v>151</v>
      </c>
      <c r="D59" s="43"/>
      <c r="E59" s="105"/>
      <c r="F59" s="37" t="s">
        <v>62</v>
      </c>
      <c r="G59" s="93">
        <v>0.0</v>
      </c>
      <c r="H59" s="92">
        <f>G59+IF(F59="--",IF(COUNTIF($F$57:$F$62,"&lt;&gt;--")&gt;0,0,Unskilled),F59)</f>
        <v>-3</v>
      </c>
      <c r="I59" s="106"/>
      <c r="J59" s="71">
        <f>H59+StrDM</f>
        <v>-3</v>
      </c>
      <c r="K59" s="92">
        <f>H59+DexDM</f>
        <v>-3</v>
      </c>
      <c r="L59" s="117">
        <f>H59+EndDM</f>
        <v>-3</v>
      </c>
      <c r="M59" s="108">
        <f>H59+IntDM</f>
        <v>-3</v>
      </c>
      <c r="N59" s="108">
        <f>H59+EduDM</f>
        <v>-3</v>
      </c>
      <c r="O59" s="118">
        <f>H59+SocDM</f>
        <v>-3</v>
      </c>
      <c r="P59" s="1"/>
      <c r="Q59" s="88" t="s">
        <v>142</v>
      </c>
      <c r="R59" s="43"/>
      <c r="S59" s="105"/>
      <c r="T59" s="112" t="s">
        <v>152</v>
      </c>
      <c r="U59" s="43"/>
      <c r="V59" s="105"/>
      <c r="W59" s="37" t="s">
        <v>62</v>
      </c>
      <c r="X59" s="93">
        <v>0.0</v>
      </c>
      <c r="Y59" s="92">
        <f>X59+IF(W59="--",IF(COUNTIF($W$54:$W$72,"&lt;&gt;--")&gt;0,0,Unskilled),W59)</f>
        <v>-3</v>
      </c>
      <c r="Z59" s="106"/>
      <c r="AA59" s="107">
        <f>Y59+StrDM</f>
        <v>-3</v>
      </c>
      <c r="AB59" s="108">
        <f>Y59+DexDM</f>
        <v>-3</v>
      </c>
      <c r="AC59" s="110">
        <f>Y59+EndDM</f>
        <v>-3</v>
      </c>
      <c r="AD59" s="92">
        <f>Y59+IntDM</f>
        <v>-3</v>
      </c>
      <c r="AE59" s="92">
        <f>Y59+EduDM</f>
        <v>-3</v>
      </c>
      <c r="AF59" s="111">
        <f>Y59+SocDM</f>
        <v>-3</v>
      </c>
      <c r="AG59" s="1"/>
    </row>
    <row r="60" ht="16.5" customHeight="1">
      <c r="A60" s="1"/>
      <c r="B60" s="116" t="s">
        <v>147</v>
      </c>
      <c r="C60" s="112" t="s">
        <v>153</v>
      </c>
      <c r="D60" s="43"/>
      <c r="E60" s="105"/>
      <c r="F60" s="37" t="s">
        <v>62</v>
      </c>
      <c r="G60" s="93">
        <v>0.0</v>
      </c>
      <c r="H60" s="92">
        <f>G60+IF(F60="--",IF(COUNTIF($F$57:$F$62,"&lt;&gt;--")&gt;0,0,Unskilled),F60)</f>
        <v>-3</v>
      </c>
      <c r="I60" s="106"/>
      <c r="J60" s="71">
        <f>H60+StrDM</f>
        <v>-3</v>
      </c>
      <c r="K60" s="92">
        <f>H60+DexDM</f>
        <v>-3</v>
      </c>
      <c r="L60" s="117">
        <f>H60+EndDM</f>
        <v>-3</v>
      </c>
      <c r="M60" s="108">
        <f>H60+IntDM</f>
        <v>-3</v>
      </c>
      <c r="N60" s="108">
        <f>H60+EduDM</f>
        <v>-3</v>
      </c>
      <c r="O60" s="118">
        <f>H60+SocDM</f>
        <v>-3</v>
      </c>
      <c r="P60" s="1"/>
      <c r="Q60" s="88" t="s">
        <v>142</v>
      </c>
      <c r="R60" s="43"/>
      <c r="S60" s="105"/>
      <c r="T60" s="112" t="s">
        <v>154</v>
      </c>
      <c r="U60" s="43"/>
      <c r="V60" s="105"/>
      <c r="W60" s="37" t="s">
        <v>62</v>
      </c>
      <c r="X60" s="93">
        <v>0.0</v>
      </c>
      <c r="Y60" s="92">
        <f>X60+IF(W60="--",IF(COUNTIF($W$54:$W$72,"&lt;&gt;--")&gt;0,0,Unskilled),W60)</f>
        <v>-3</v>
      </c>
      <c r="Z60" s="106"/>
      <c r="AA60" s="107">
        <f>Y60+StrDM</f>
        <v>-3</v>
      </c>
      <c r="AB60" s="108">
        <f>Y60+DexDM</f>
        <v>-3</v>
      </c>
      <c r="AC60" s="110">
        <f>Y60+EndDM</f>
        <v>-3</v>
      </c>
      <c r="AD60" s="92">
        <f>Y60+IntDM</f>
        <v>-3</v>
      </c>
      <c r="AE60" s="92">
        <f>Y60+EduDM</f>
        <v>-3</v>
      </c>
      <c r="AF60" s="111">
        <f>Y60+SocDM</f>
        <v>-3</v>
      </c>
      <c r="AG60" s="1"/>
    </row>
    <row r="61" ht="16.5" customHeight="1">
      <c r="A61" s="1"/>
      <c r="B61" s="116" t="s">
        <v>147</v>
      </c>
      <c r="C61" s="112" t="s">
        <v>155</v>
      </c>
      <c r="D61" s="43"/>
      <c r="E61" s="105"/>
      <c r="F61" s="37" t="s">
        <v>62</v>
      </c>
      <c r="G61" s="93">
        <v>0.0</v>
      </c>
      <c r="H61" s="92">
        <f>G61+IF(F61="--",IF(COUNTIF($F$57:$F$62,"&lt;&gt;--")&gt;0,0,Unskilled),F61)</f>
        <v>-3</v>
      </c>
      <c r="I61" s="106"/>
      <c r="J61" s="71">
        <f>H61+StrDM</f>
        <v>-3</v>
      </c>
      <c r="K61" s="92">
        <f>H61+DexDM</f>
        <v>-3</v>
      </c>
      <c r="L61" s="117">
        <f>H61+EndDM</f>
        <v>-3</v>
      </c>
      <c r="M61" s="108">
        <f>H61+IntDM</f>
        <v>-3</v>
      </c>
      <c r="N61" s="108">
        <f>H61+EduDM</f>
        <v>-3</v>
      </c>
      <c r="O61" s="118">
        <f>H61+SocDM</f>
        <v>-3</v>
      </c>
      <c r="P61" s="1"/>
      <c r="Q61" s="88" t="s">
        <v>142</v>
      </c>
      <c r="R61" s="43"/>
      <c r="S61" s="105"/>
      <c r="T61" s="112" t="s">
        <v>156</v>
      </c>
      <c r="U61" s="43"/>
      <c r="V61" s="105"/>
      <c r="W61" s="37" t="s">
        <v>62</v>
      </c>
      <c r="X61" s="93">
        <v>0.0</v>
      </c>
      <c r="Y61" s="92">
        <f>X61+IF(W61="--",IF(COUNTIF($W$54:$W$72,"&lt;&gt;--")&gt;0,0,Unskilled),W61)</f>
        <v>-3</v>
      </c>
      <c r="Z61" s="106"/>
      <c r="AA61" s="107">
        <f>Y61+StrDM</f>
        <v>-3</v>
      </c>
      <c r="AB61" s="108">
        <f>Y61+DexDM</f>
        <v>-3</v>
      </c>
      <c r="AC61" s="110">
        <f>Y61+EndDM</f>
        <v>-3</v>
      </c>
      <c r="AD61" s="92">
        <f>Y61+IntDM</f>
        <v>-3</v>
      </c>
      <c r="AE61" s="92">
        <f>Y61+EduDM</f>
        <v>-3</v>
      </c>
      <c r="AF61" s="111">
        <f>Y61+SocDM</f>
        <v>-3</v>
      </c>
      <c r="AG61" s="1"/>
    </row>
    <row r="62" ht="16.5" customHeight="1">
      <c r="A62" s="1"/>
      <c r="B62" s="116" t="s">
        <v>147</v>
      </c>
      <c r="C62" s="112" t="s">
        <v>157</v>
      </c>
      <c r="D62" s="43"/>
      <c r="E62" s="105"/>
      <c r="F62" s="37" t="s">
        <v>62</v>
      </c>
      <c r="G62" s="93">
        <v>0.0</v>
      </c>
      <c r="H62" s="92">
        <f>G62+IF(F62="--",IF(COUNTIF($F$57:$F$62,"&lt;&gt;--")&gt;0,0,Unskilled),F62)</f>
        <v>-3</v>
      </c>
      <c r="I62" s="106"/>
      <c r="J62" s="71">
        <f>H62+StrDM</f>
        <v>-3</v>
      </c>
      <c r="K62" s="92">
        <f>H62+DexDM</f>
        <v>-3</v>
      </c>
      <c r="L62" s="117">
        <f>H62+EndDM</f>
        <v>-3</v>
      </c>
      <c r="M62" s="108">
        <f>H62+IntDM</f>
        <v>-3</v>
      </c>
      <c r="N62" s="108">
        <f>H62+EduDM</f>
        <v>-3</v>
      </c>
      <c r="O62" s="118">
        <f>H62+SocDM</f>
        <v>-3</v>
      </c>
      <c r="P62" s="1"/>
      <c r="Q62" s="88" t="s">
        <v>142</v>
      </c>
      <c r="R62" s="43"/>
      <c r="S62" s="105"/>
      <c r="T62" s="112" t="s">
        <v>158</v>
      </c>
      <c r="U62" s="43"/>
      <c r="V62" s="105"/>
      <c r="W62" s="37" t="s">
        <v>62</v>
      </c>
      <c r="X62" s="93">
        <v>0.0</v>
      </c>
      <c r="Y62" s="92">
        <f>X62+IF(W62="--",IF(COUNTIF($W$54:$W$72,"&lt;&gt;--")&gt;0,0,Unskilled),W62)</f>
        <v>-3</v>
      </c>
      <c r="Z62" s="106"/>
      <c r="AA62" s="107">
        <f>Y62+StrDM</f>
        <v>-3</v>
      </c>
      <c r="AB62" s="108">
        <f>Y62+DexDM</f>
        <v>-3</v>
      </c>
      <c r="AC62" s="110">
        <f>Y62+EndDM</f>
        <v>-3</v>
      </c>
      <c r="AD62" s="92">
        <f>Y62+IntDM</f>
        <v>-3</v>
      </c>
      <c r="AE62" s="92">
        <f>Y62+EduDM</f>
        <v>-3</v>
      </c>
      <c r="AF62" s="111">
        <f>Y62+SocDM</f>
        <v>-3</v>
      </c>
      <c r="AG62" s="1"/>
    </row>
    <row r="63" ht="16.5" customHeight="1">
      <c r="A63" s="1"/>
      <c r="B63" s="88" t="s">
        <v>159</v>
      </c>
      <c r="C63" s="43"/>
      <c r="D63" s="43"/>
      <c r="E63" s="105"/>
      <c r="F63" s="37" t="s">
        <v>62</v>
      </c>
      <c r="G63" s="93">
        <v>0.0</v>
      </c>
      <c r="H63" s="92">
        <f>G63+IF(F63="--",Unskilled,F63)</f>
        <v>-3</v>
      </c>
      <c r="I63" s="106"/>
      <c r="J63" s="107">
        <f>H63+StrDM</f>
        <v>-3</v>
      </c>
      <c r="K63" s="108">
        <f>H63+DexDM</f>
        <v>-3</v>
      </c>
      <c r="L63" s="110">
        <f>H63+EndDM</f>
        <v>-3</v>
      </c>
      <c r="M63" s="92">
        <f>H63+IntDM</f>
        <v>-3</v>
      </c>
      <c r="N63" s="117">
        <f>H63+EduDM</f>
        <v>-3</v>
      </c>
      <c r="O63" s="118">
        <f>H63+SocDM</f>
        <v>-3</v>
      </c>
      <c r="P63" s="1"/>
      <c r="Q63" s="88" t="s">
        <v>142</v>
      </c>
      <c r="R63" s="43"/>
      <c r="S63" s="105"/>
      <c r="T63" s="112" t="s">
        <v>160</v>
      </c>
      <c r="U63" s="43"/>
      <c r="V63" s="105"/>
      <c r="W63" s="37" t="s">
        <v>62</v>
      </c>
      <c r="X63" s="93">
        <v>0.0</v>
      </c>
      <c r="Y63" s="92">
        <f>X63+IF(W63="--",IF(COUNTIF($W$54:$W$72,"&lt;&gt;--")&gt;0,0,Unskilled),W63)</f>
        <v>-3</v>
      </c>
      <c r="Z63" s="106"/>
      <c r="AA63" s="107">
        <f>Y63+StrDM</f>
        <v>-3</v>
      </c>
      <c r="AB63" s="108">
        <f>Y63+DexDM</f>
        <v>-3</v>
      </c>
      <c r="AC63" s="110">
        <f>Y63+EndDM</f>
        <v>-3</v>
      </c>
      <c r="AD63" s="92">
        <f>Y63+IntDM</f>
        <v>-3</v>
      </c>
      <c r="AE63" s="92">
        <f>Y63+EduDM</f>
        <v>-3</v>
      </c>
      <c r="AF63" s="111">
        <f>Y63+SocDM</f>
        <v>-3</v>
      </c>
      <c r="AG63" s="1"/>
    </row>
    <row r="64" ht="16.5" customHeight="1">
      <c r="A64" s="1"/>
      <c r="B64" s="88" t="s">
        <v>161</v>
      </c>
      <c r="C64" s="43"/>
      <c r="D64" s="43"/>
      <c r="E64" s="105"/>
      <c r="F64" s="37" t="s">
        <v>62</v>
      </c>
      <c r="G64" s="93">
        <v>0.0</v>
      </c>
      <c r="H64" s="92">
        <f>G64+IF(F64="--",IF(COUNTIF($F$64:$F$68,"&lt;&gt;--")&gt;0,0,Unskilled),F64)</f>
        <v>-3</v>
      </c>
      <c r="I64" s="106"/>
      <c r="J64" s="107">
        <f>H64+StrDM</f>
        <v>-3</v>
      </c>
      <c r="K64" s="108">
        <f>H64+DexDM</f>
        <v>-3</v>
      </c>
      <c r="L64" s="108">
        <f>H64+EndDM</f>
        <v>-3</v>
      </c>
      <c r="M64" s="108">
        <f>H64+IntDM</f>
        <v>-3</v>
      </c>
      <c r="N64" s="108">
        <f>H64+EduDM</f>
        <v>-3</v>
      </c>
      <c r="O64" s="118">
        <f>H64+SocDM</f>
        <v>-3</v>
      </c>
      <c r="P64" s="1"/>
      <c r="Q64" s="88" t="s">
        <v>142</v>
      </c>
      <c r="R64" s="43"/>
      <c r="S64" s="105"/>
      <c r="T64" s="112" t="s">
        <v>162</v>
      </c>
      <c r="U64" s="43"/>
      <c r="V64" s="105"/>
      <c r="W64" s="37" t="s">
        <v>62</v>
      </c>
      <c r="X64" s="93">
        <v>0.0</v>
      </c>
      <c r="Y64" s="92">
        <f>X64+IF(W64="--",IF(COUNTIF($W$54:$W$72,"&lt;&gt;--")&gt;0,0,Unskilled),W64)</f>
        <v>-3</v>
      </c>
      <c r="Z64" s="106"/>
      <c r="AA64" s="107">
        <f>Y64+StrDM</f>
        <v>-3</v>
      </c>
      <c r="AB64" s="108">
        <f>Y64+DexDM</f>
        <v>-3</v>
      </c>
      <c r="AC64" s="110">
        <f>Y64+EndDM</f>
        <v>-3</v>
      </c>
      <c r="AD64" s="92">
        <f>Y64+IntDM</f>
        <v>-3</v>
      </c>
      <c r="AE64" s="92">
        <f>Y64+EduDM</f>
        <v>-3</v>
      </c>
      <c r="AF64" s="111">
        <f>Y64+SocDM</f>
        <v>-3</v>
      </c>
      <c r="AG64" s="1"/>
    </row>
    <row r="65" ht="16.5" customHeight="1">
      <c r="A65" s="1"/>
      <c r="B65" s="116" t="s">
        <v>161</v>
      </c>
      <c r="C65" s="112" t="s">
        <v>163</v>
      </c>
      <c r="D65" s="43"/>
      <c r="E65" s="105"/>
      <c r="F65" s="37" t="s">
        <v>62</v>
      </c>
      <c r="G65" s="93">
        <v>0.0</v>
      </c>
      <c r="H65" s="92">
        <f>G65+IF(F65="--",IF(COUNTIF($F$64:$F$68,"&lt;&gt;--")&gt;0,0,Unskilled),F65)</f>
        <v>-3</v>
      </c>
      <c r="I65" s="106"/>
      <c r="J65" s="107">
        <f>H65+StrDM</f>
        <v>-3</v>
      </c>
      <c r="K65" s="108">
        <f>H65+DexDM</f>
        <v>-3</v>
      </c>
      <c r="L65" s="110">
        <f>H65+EndDM</f>
        <v>-3</v>
      </c>
      <c r="M65" s="92">
        <f>H65+IntDM</f>
        <v>-3</v>
      </c>
      <c r="N65" s="117">
        <f>H65+EduDM</f>
        <v>-3</v>
      </c>
      <c r="O65" s="118">
        <f>H65+SocDM</f>
        <v>-3</v>
      </c>
      <c r="P65" s="1"/>
      <c r="Q65" s="88" t="s">
        <v>142</v>
      </c>
      <c r="R65" s="43"/>
      <c r="S65" s="105"/>
      <c r="T65" s="112" t="s">
        <v>164</v>
      </c>
      <c r="U65" s="43"/>
      <c r="V65" s="105"/>
      <c r="W65" s="37" t="s">
        <v>62</v>
      </c>
      <c r="X65" s="93">
        <v>0.0</v>
      </c>
      <c r="Y65" s="92">
        <f>X65+IF(W65="--",IF(COUNTIF($W$54:$W$72,"&lt;&gt;--")&gt;0,0,Unskilled),W65)</f>
        <v>-3</v>
      </c>
      <c r="Z65" s="106"/>
      <c r="AA65" s="107">
        <f>Y65+StrDM</f>
        <v>-3</v>
      </c>
      <c r="AB65" s="108">
        <f>Y65+DexDM</f>
        <v>-3</v>
      </c>
      <c r="AC65" s="110">
        <f>Y65+EndDM</f>
        <v>-3</v>
      </c>
      <c r="AD65" s="92">
        <f>Y65+IntDM</f>
        <v>-3</v>
      </c>
      <c r="AE65" s="92">
        <f>Y65+EduDM</f>
        <v>-3</v>
      </c>
      <c r="AF65" s="111">
        <f>Y65+SocDM</f>
        <v>-3</v>
      </c>
      <c r="AG65" s="1"/>
    </row>
    <row r="66" ht="16.5" customHeight="1">
      <c r="A66" s="1"/>
      <c r="B66" s="116" t="s">
        <v>161</v>
      </c>
      <c r="C66" s="112" t="s">
        <v>165</v>
      </c>
      <c r="D66" s="43"/>
      <c r="E66" s="105"/>
      <c r="F66" s="37" t="s">
        <v>62</v>
      </c>
      <c r="G66" s="93">
        <v>0.0</v>
      </c>
      <c r="H66" s="92">
        <f>G66+IF(F66="--",IF(COUNTIF($F$64:$F$68,"&lt;&gt;--")&gt;0,0,Unskilled),F66)</f>
        <v>-3</v>
      </c>
      <c r="I66" s="106"/>
      <c r="J66" s="107">
        <f>H66+StrDM</f>
        <v>-3</v>
      </c>
      <c r="K66" s="108">
        <f>H66+DexDM</f>
        <v>-3</v>
      </c>
      <c r="L66" s="110">
        <f>H66+EndDM</f>
        <v>-3</v>
      </c>
      <c r="M66" s="92">
        <f>H66+IntDM</f>
        <v>-3</v>
      </c>
      <c r="N66" s="117">
        <f>H66+EduDM</f>
        <v>-3</v>
      </c>
      <c r="O66" s="118">
        <f>H66+SocDM</f>
        <v>-3</v>
      </c>
      <c r="P66" s="1"/>
      <c r="Q66" s="88" t="s">
        <v>142</v>
      </c>
      <c r="R66" s="43"/>
      <c r="S66" s="105"/>
      <c r="T66" s="112" t="s">
        <v>166</v>
      </c>
      <c r="U66" s="43"/>
      <c r="V66" s="105"/>
      <c r="W66" s="37" t="s">
        <v>62</v>
      </c>
      <c r="X66" s="93">
        <v>0.0</v>
      </c>
      <c r="Y66" s="92">
        <f>X66+IF(W66="--",IF(COUNTIF($W$54:$W$72,"&lt;&gt;--")&gt;0,0,Unskilled),W66)</f>
        <v>-3</v>
      </c>
      <c r="Z66" s="106"/>
      <c r="AA66" s="107">
        <f>Y66+StrDM</f>
        <v>-3</v>
      </c>
      <c r="AB66" s="108">
        <f>Y66+DexDM</f>
        <v>-3</v>
      </c>
      <c r="AC66" s="110">
        <f>Y66+EndDM</f>
        <v>-3</v>
      </c>
      <c r="AD66" s="92">
        <f>Y66+IntDM</f>
        <v>-3</v>
      </c>
      <c r="AE66" s="92">
        <f>Y66+EduDM</f>
        <v>-3</v>
      </c>
      <c r="AF66" s="111">
        <f>Y66+SocDM</f>
        <v>-3</v>
      </c>
      <c r="AG66" s="1"/>
    </row>
    <row r="67" ht="16.5" customHeight="1">
      <c r="A67" s="1"/>
      <c r="B67" s="116" t="s">
        <v>161</v>
      </c>
      <c r="C67" s="112" t="s">
        <v>167</v>
      </c>
      <c r="D67" s="43"/>
      <c r="E67" s="105"/>
      <c r="F67" s="37" t="s">
        <v>62</v>
      </c>
      <c r="G67" s="93">
        <v>0.0</v>
      </c>
      <c r="H67" s="92">
        <f>G67+IF(F67="--",IF(COUNTIF($F$64:$F$68,"&lt;&gt;--")&gt;0,0,Unskilled),F67)</f>
        <v>-3</v>
      </c>
      <c r="I67" s="106"/>
      <c r="J67" s="71">
        <f>H67+StrDM</f>
        <v>-3</v>
      </c>
      <c r="K67" s="92">
        <f>H67+DexDM</f>
        <v>-3</v>
      </c>
      <c r="L67" s="117">
        <f>H67+EndDM</f>
        <v>-3</v>
      </c>
      <c r="M67" s="108">
        <f>H67+IntDM</f>
        <v>-3</v>
      </c>
      <c r="N67" s="108">
        <f>H67+EduDM</f>
        <v>-3</v>
      </c>
      <c r="O67" s="118">
        <f>H67+SocDM</f>
        <v>-3</v>
      </c>
      <c r="P67" s="1"/>
      <c r="Q67" s="88" t="s">
        <v>142</v>
      </c>
      <c r="R67" s="43"/>
      <c r="S67" s="105"/>
      <c r="T67" s="112" t="s">
        <v>168</v>
      </c>
      <c r="U67" s="43"/>
      <c r="V67" s="105"/>
      <c r="W67" s="37" t="s">
        <v>62</v>
      </c>
      <c r="X67" s="93">
        <v>0.0</v>
      </c>
      <c r="Y67" s="92">
        <f>X67+IF(W67="--",IF(COUNTIF($W$54:$W$72,"&lt;&gt;--")&gt;0,0,Unskilled),W67)</f>
        <v>-3</v>
      </c>
      <c r="Z67" s="106"/>
      <c r="AA67" s="107">
        <f>Y67+StrDM</f>
        <v>-3</v>
      </c>
      <c r="AB67" s="108">
        <f>Y67+DexDM</f>
        <v>-3</v>
      </c>
      <c r="AC67" s="110">
        <f>Y67+EndDM</f>
        <v>-3</v>
      </c>
      <c r="AD67" s="92">
        <f>Y67+IntDM</f>
        <v>-3</v>
      </c>
      <c r="AE67" s="92">
        <f>Y67+EduDM</f>
        <v>-3</v>
      </c>
      <c r="AF67" s="111">
        <f>Y67+SocDM</f>
        <v>-3</v>
      </c>
      <c r="AG67" s="1"/>
    </row>
    <row r="68" ht="16.5" customHeight="1">
      <c r="A68" s="1"/>
      <c r="B68" s="116" t="s">
        <v>161</v>
      </c>
      <c r="C68" s="112" t="s">
        <v>169</v>
      </c>
      <c r="D68" s="43"/>
      <c r="E68" s="105"/>
      <c r="F68" s="37" t="s">
        <v>62</v>
      </c>
      <c r="G68" s="93">
        <v>0.0</v>
      </c>
      <c r="H68" s="92">
        <f>G68+IF(F68="--",IF(COUNTIF($F$64:$F$68,"&lt;&gt;--")&gt;0,0,Unskilled),F68)</f>
        <v>-3</v>
      </c>
      <c r="I68" s="106"/>
      <c r="J68" s="71">
        <f>H68+StrDM</f>
        <v>-3</v>
      </c>
      <c r="K68" s="92">
        <f>H68+DexDM</f>
        <v>-3</v>
      </c>
      <c r="L68" s="117">
        <f>H68+EndDM</f>
        <v>-3</v>
      </c>
      <c r="M68" s="108">
        <f>H68+IntDM</f>
        <v>-3</v>
      </c>
      <c r="N68" s="108">
        <f>H68+EduDM</f>
        <v>-3</v>
      </c>
      <c r="O68" s="118">
        <f>H68+SocDM</f>
        <v>-3</v>
      </c>
      <c r="P68" s="1"/>
      <c r="Q68" s="88" t="s">
        <v>142</v>
      </c>
      <c r="R68" s="43"/>
      <c r="S68" s="105"/>
      <c r="T68" s="112" t="s">
        <v>170</v>
      </c>
      <c r="U68" s="43"/>
      <c r="V68" s="105"/>
      <c r="W68" s="37" t="s">
        <v>62</v>
      </c>
      <c r="X68" s="93">
        <v>0.0</v>
      </c>
      <c r="Y68" s="92">
        <f>X68+IF(W68="--",IF(COUNTIF($W$54:$W$72,"&lt;&gt;--")&gt;0,0,Unskilled),W68)</f>
        <v>-3</v>
      </c>
      <c r="Z68" s="106"/>
      <c r="AA68" s="107">
        <f>Y68+StrDM</f>
        <v>-3</v>
      </c>
      <c r="AB68" s="108">
        <f>Y68+DexDM</f>
        <v>-3</v>
      </c>
      <c r="AC68" s="110">
        <f>Y68+EndDM</f>
        <v>-3</v>
      </c>
      <c r="AD68" s="92">
        <f>Y68+IntDM</f>
        <v>-3</v>
      </c>
      <c r="AE68" s="92">
        <f>Y68+EduDM</f>
        <v>-3</v>
      </c>
      <c r="AF68" s="111">
        <f>Y68+SocDM</f>
        <v>-3</v>
      </c>
      <c r="AG68" s="1"/>
    </row>
    <row r="69" ht="16.5" customHeight="1">
      <c r="A69" s="1"/>
      <c r="B69" s="88" t="s">
        <v>171</v>
      </c>
      <c r="C69" s="43"/>
      <c r="D69" s="43"/>
      <c r="E69" s="105"/>
      <c r="F69" s="37" t="s">
        <v>62</v>
      </c>
      <c r="G69" s="93">
        <v>0.0</v>
      </c>
      <c r="H69" s="92">
        <f>G69+IF(F69="--",IF(COUNTIF($F$69:$F$72,"&lt;&gt;--")&gt;0,0,Unskilled),F69)</f>
        <v>-3</v>
      </c>
      <c r="I69" s="106"/>
      <c r="J69" s="71">
        <f>H69+StrDM</f>
        <v>-3</v>
      </c>
      <c r="K69" s="92">
        <f>H69+DexDM</f>
        <v>-3</v>
      </c>
      <c r="L69" s="117">
        <f>H69+EndDM</f>
        <v>-3</v>
      </c>
      <c r="M69" s="108">
        <f>H69+IntDM</f>
        <v>-3</v>
      </c>
      <c r="N69" s="108">
        <f>H69+EduDM</f>
        <v>-3</v>
      </c>
      <c r="O69" s="118">
        <f>H69+SocDM</f>
        <v>-3</v>
      </c>
      <c r="P69" s="1"/>
      <c r="Q69" s="88" t="s">
        <v>142</v>
      </c>
      <c r="R69" s="43"/>
      <c r="S69" s="105"/>
      <c r="T69" s="112" t="s">
        <v>172</v>
      </c>
      <c r="U69" s="43"/>
      <c r="V69" s="105"/>
      <c r="W69" s="37" t="s">
        <v>62</v>
      </c>
      <c r="X69" s="93">
        <v>0.0</v>
      </c>
      <c r="Y69" s="92">
        <f>X69+IF(W69="--",IF(COUNTIF($W$54:$W$72,"&lt;&gt;--")&gt;0,0,Unskilled),W69)</f>
        <v>-3</v>
      </c>
      <c r="Z69" s="106"/>
      <c r="AA69" s="107">
        <f>Y69+StrDM</f>
        <v>-3</v>
      </c>
      <c r="AB69" s="108">
        <f>Y69+DexDM</f>
        <v>-3</v>
      </c>
      <c r="AC69" s="110">
        <f>Y69+EndDM</f>
        <v>-3</v>
      </c>
      <c r="AD69" s="92">
        <f>Y69+IntDM</f>
        <v>-3</v>
      </c>
      <c r="AE69" s="92">
        <f>Y69+EduDM</f>
        <v>-3</v>
      </c>
      <c r="AF69" s="111">
        <f>Y69+SocDM</f>
        <v>-3</v>
      </c>
      <c r="AG69" s="1"/>
    </row>
    <row r="70" ht="16.5" customHeight="1">
      <c r="A70" s="1"/>
      <c r="B70" s="116" t="s">
        <v>171</v>
      </c>
      <c r="C70" s="112" t="s">
        <v>173</v>
      </c>
      <c r="D70" s="43"/>
      <c r="E70" s="105"/>
      <c r="F70" s="37" t="s">
        <v>62</v>
      </c>
      <c r="G70" s="93">
        <v>0.0</v>
      </c>
      <c r="H70" s="92">
        <f>G70+IF(F70="--",IF(COUNTIF($F$69:$F$72,"&lt;&gt;--")&gt;0,0,Unskilled),F70)</f>
        <v>-3</v>
      </c>
      <c r="I70" s="106"/>
      <c r="J70" s="71">
        <f>H70+StrDM</f>
        <v>-3</v>
      </c>
      <c r="K70" s="92">
        <f>H70+DexDM</f>
        <v>-3</v>
      </c>
      <c r="L70" s="117">
        <f>H70+EndDM</f>
        <v>-3</v>
      </c>
      <c r="M70" s="108">
        <f>H70+IntDM</f>
        <v>-3</v>
      </c>
      <c r="N70" s="108">
        <f>H70+EduDM</f>
        <v>-3</v>
      </c>
      <c r="O70" s="118">
        <f>H70+SocDM</f>
        <v>-3</v>
      </c>
      <c r="P70" s="1"/>
      <c r="Q70" s="88" t="s">
        <v>142</v>
      </c>
      <c r="R70" s="43"/>
      <c r="S70" s="105"/>
      <c r="T70" s="112" t="s">
        <v>174</v>
      </c>
      <c r="U70" s="43"/>
      <c r="V70" s="105"/>
      <c r="W70" s="37" t="s">
        <v>62</v>
      </c>
      <c r="X70" s="93">
        <v>0.0</v>
      </c>
      <c r="Y70" s="92">
        <f>X70+IF(W70="--",IF(COUNTIF($W$54:$W$72,"&lt;&gt;--")&gt;0,0,Unskilled),W70)</f>
        <v>-3</v>
      </c>
      <c r="Z70" s="106"/>
      <c r="AA70" s="107">
        <f>Y70+StrDM</f>
        <v>-3</v>
      </c>
      <c r="AB70" s="108">
        <f>Y70+DexDM</f>
        <v>-3</v>
      </c>
      <c r="AC70" s="110">
        <f>Y70+EndDM</f>
        <v>-3</v>
      </c>
      <c r="AD70" s="92">
        <f>Y70+IntDM</f>
        <v>-3</v>
      </c>
      <c r="AE70" s="92">
        <f>Y70+EduDM</f>
        <v>-3</v>
      </c>
      <c r="AF70" s="111">
        <f>Y70+SocDM</f>
        <v>-3</v>
      </c>
      <c r="AG70" s="1"/>
    </row>
    <row r="71" ht="16.5" customHeight="1">
      <c r="A71" s="1"/>
      <c r="B71" s="116" t="s">
        <v>171</v>
      </c>
      <c r="C71" s="112" t="s">
        <v>175</v>
      </c>
      <c r="D71" s="43"/>
      <c r="E71" s="105"/>
      <c r="F71" s="37" t="s">
        <v>62</v>
      </c>
      <c r="G71" s="93">
        <v>0.0</v>
      </c>
      <c r="H71" s="92">
        <f>G71+IF(F71="--",IF(COUNTIF($F$69:$F$72,"&lt;&gt;--")&gt;0,0,Unskilled),F71)</f>
        <v>-3</v>
      </c>
      <c r="I71" s="106"/>
      <c r="J71" s="71">
        <f>H71+StrDM</f>
        <v>-3</v>
      </c>
      <c r="K71" s="92">
        <f>H71+DexDM</f>
        <v>-3</v>
      </c>
      <c r="L71" s="117">
        <f>H71+EndDM</f>
        <v>-3</v>
      </c>
      <c r="M71" s="108">
        <f>H71+IntDM</f>
        <v>-3</v>
      </c>
      <c r="N71" s="108">
        <f>H71+EduDM</f>
        <v>-3</v>
      </c>
      <c r="O71" s="118">
        <f>H71+SocDM</f>
        <v>-3</v>
      </c>
      <c r="P71" s="1"/>
      <c r="Q71" s="88" t="s">
        <v>142</v>
      </c>
      <c r="R71" s="43"/>
      <c r="S71" s="105"/>
      <c r="T71" s="112" t="s">
        <v>176</v>
      </c>
      <c r="U71" s="43"/>
      <c r="V71" s="105"/>
      <c r="W71" s="37" t="s">
        <v>62</v>
      </c>
      <c r="X71" s="93">
        <v>0.0</v>
      </c>
      <c r="Y71" s="92">
        <f>X71+IF(W71="--",IF(COUNTIF($W$54:$W$72,"&lt;&gt;--")&gt;0,0,Unskilled),W71)</f>
        <v>-3</v>
      </c>
      <c r="Z71" s="106"/>
      <c r="AA71" s="107">
        <f>Y71+StrDM</f>
        <v>-3</v>
      </c>
      <c r="AB71" s="108">
        <f>Y71+DexDM</f>
        <v>-3</v>
      </c>
      <c r="AC71" s="110">
        <f>Y71+EndDM</f>
        <v>-3</v>
      </c>
      <c r="AD71" s="92">
        <f>Y71+IntDM</f>
        <v>-3</v>
      </c>
      <c r="AE71" s="92">
        <f>Y71+EduDM</f>
        <v>-3</v>
      </c>
      <c r="AF71" s="111">
        <f>Y71+SocDM</f>
        <v>-3</v>
      </c>
      <c r="AG71" s="1"/>
    </row>
    <row r="72" ht="16.5" customHeight="1">
      <c r="A72" s="1"/>
      <c r="B72" s="116" t="s">
        <v>171</v>
      </c>
      <c r="C72" s="112" t="s">
        <v>177</v>
      </c>
      <c r="D72" s="43"/>
      <c r="E72" s="105"/>
      <c r="F72" s="37" t="s">
        <v>62</v>
      </c>
      <c r="G72" s="93">
        <v>0.0</v>
      </c>
      <c r="H72" s="92">
        <f>G72+IF(F72="--",IF(COUNTIF($F$69:$F$72,"&lt;&gt;--")&gt;0,0,Unskilled),F72)</f>
        <v>-3</v>
      </c>
      <c r="I72" s="106"/>
      <c r="J72" s="71">
        <f>H72+StrDM</f>
        <v>-3</v>
      </c>
      <c r="K72" s="92">
        <f>H72+DexDM</f>
        <v>-3</v>
      </c>
      <c r="L72" s="117">
        <f>H72+EndDM</f>
        <v>-3</v>
      </c>
      <c r="M72" s="108">
        <f>H72+IntDM</f>
        <v>-3</v>
      </c>
      <c r="N72" s="108">
        <f>H72+EduDM</f>
        <v>-3</v>
      </c>
      <c r="O72" s="118">
        <f>H72+SocDM</f>
        <v>-3</v>
      </c>
      <c r="P72" s="1"/>
      <c r="Q72" s="88" t="s">
        <v>142</v>
      </c>
      <c r="R72" s="43"/>
      <c r="S72" s="105"/>
      <c r="T72" s="112" t="s">
        <v>178</v>
      </c>
      <c r="U72" s="43"/>
      <c r="V72" s="105"/>
      <c r="W72" s="37" t="s">
        <v>62</v>
      </c>
      <c r="X72" s="93">
        <v>0.0</v>
      </c>
      <c r="Y72" s="92">
        <f>X72+IF(W72="--",IF(COUNTIF($W$54:$W$72,"&lt;&gt;--")&gt;0,0,Unskilled),W72)</f>
        <v>-3</v>
      </c>
      <c r="Z72" s="106"/>
      <c r="AA72" s="107">
        <f>Y72+StrDM</f>
        <v>-3</v>
      </c>
      <c r="AB72" s="108">
        <f>Y72+DexDM</f>
        <v>-3</v>
      </c>
      <c r="AC72" s="110">
        <f>Y72+EndDM</f>
        <v>-3</v>
      </c>
      <c r="AD72" s="92">
        <f>Y72+IntDM</f>
        <v>-3</v>
      </c>
      <c r="AE72" s="92">
        <f>Y72+EduDM</f>
        <v>-3</v>
      </c>
      <c r="AF72" s="111">
        <f>Y72+SocDM</f>
        <v>-3</v>
      </c>
      <c r="AG72" s="1"/>
    </row>
    <row r="73" ht="16.5" customHeight="1">
      <c r="A73" s="1"/>
      <c r="B73" s="88" t="s">
        <v>179</v>
      </c>
      <c r="C73" s="43"/>
      <c r="D73" s="43"/>
      <c r="E73" s="105"/>
      <c r="F73" s="37" t="s">
        <v>62</v>
      </c>
      <c r="G73" s="93">
        <v>0.0</v>
      </c>
      <c r="H73" s="92">
        <f>G73+IF(F73="--",IF(COUNTIF($F$73:$F$76,"&lt;&gt;--")&gt;0,0,Unskilled),F73)</f>
        <v>-3</v>
      </c>
      <c r="I73" s="106"/>
      <c r="J73" s="71">
        <f>H73+StrDM</f>
        <v>-3</v>
      </c>
      <c r="K73" s="92">
        <f>H73+DexDM</f>
        <v>-3</v>
      </c>
      <c r="L73" s="124">
        <f>H73+EndDM</f>
        <v>-3</v>
      </c>
      <c r="M73" s="92">
        <f>H73+IntDM</f>
        <v>-3</v>
      </c>
      <c r="N73" s="117">
        <f>H73+EduDM</f>
        <v>-3</v>
      </c>
      <c r="O73" s="118">
        <f>H73+SocDM</f>
        <v>-3</v>
      </c>
      <c r="P73" s="1"/>
      <c r="Q73" s="88" t="s">
        <v>180</v>
      </c>
      <c r="R73" s="43"/>
      <c r="S73" s="43"/>
      <c r="T73" s="43"/>
      <c r="U73" s="43"/>
      <c r="V73" s="105"/>
      <c r="W73" s="37" t="s">
        <v>62</v>
      </c>
      <c r="X73" s="93">
        <v>0.0</v>
      </c>
      <c r="Y73" s="92">
        <f>X73+IF(W73="--",IF(COUNTIF($W$73:$W$77,"&lt;&gt;--")&gt;0,0,Unskilled),W73)</f>
        <v>-3</v>
      </c>
      <c r="Z73" s="106"/>
      <c r="AA73" s="71">
        <f>Y73+StrDM</f>
        <v>-3</v>
      </c>
      <c r="AB73" s="108">
        <f>Y73+DexDM</f>
        <v>-3</v>
      </c>
      <c r="AC73" s="117">
        <f>Y73+EndDM</f>
        <v>-3</v>
      </c>
      <c r="AD73" s="108">
        <f>Y73+IntDM</f>
        <v>-3</v>
      </c>
      <c r="AE73" s="108">
        <f>Y73+EduDM</f>
        <v>-3</v>
      </c>
      <c r="AF73" s="118">
        <f>Y73+SocDM</f>
        <v>-3</v>
      </c>
      <c r="AG73" s="1"/>
    </row>
    <row r="74" ht="16.5" customHeight="1">
      <c r="A74" s="1"/>
      <c r="B74" s="116" t="s">
        <v>179</v>
      </c>
      <c r="C74" s="112" t="s">
        <v>181</v>
      </c>
      <c r="D74" s="43"/>
      <c r="E74" s="105"/>
      <c r="F74" s="37" t="s">
        <v>62</v>
      </c>
      <c r="G74" s="93">
        <v>0.0</v>
      </c>
      <c r="H74" s="92">
        <f>G74+IF(F74="--",IF(COUNTIF($F$73:$F$76,"&lt;&gt;--")&gt;0,0,Unskilled),F74)</f>
        <v>-3</v>
      </c>
      <c r="I74" s="106"/>
      <c r="J74" s="71">
        <f>H74+StrDM</f>
        <v>-3</v>
      </c>
      <c r="K74" s="92">
        <f>H74+DexDM</f>
        <v>-3</v>
      </c>
      <c r="L74" s="124">
        <f>H74+EndDM</f>
        <v>-3</v>
      </c>
      <c r="M74" s="92">
        <f>H74+IntDM</f>
        <v>-3</v>
      </c>
      <c r="N74" s="117">
        <f>H74+EduDM</f>
        <v>-3</v>
      </c>
      <c r="O74" s="118">
        <f>H74+SocDM</f>
        <v>-3</v>
      </c>
      <c r="P74" s="1"/>
      <c r="Q74" s="88" t="s">
        <v>180</v>
      </c>
      <c r="R74" s="43"/>
      <c r="S74" s="105"/>
      <c r="T74" s="112" t="s">
        <v>182</v>
      </c>
      <c r="U74" s="43"/>
      <c r="V74" s="105"/>
      <c r="W74" s="37" t="s">
        <v>62</v>
      </c>
      <c r="X74" s="93">
        <v>0.0</v>
      </c>
      <c r="Y74" s="92">
        <f>X74+IF(W74="--",IF(COUNTIF($W$73:$W$77,"&lt;&gt;--")&gt;0,0,Unskilled),W74)</f>
        <v>-3</v>
      </c>
      <c r="Z74" s="106"/>
      <c r="AA74" s="71">
        <f>Y74+StrDM</f>
        <v>-3</v>
      </c>
      <c r="AB74" s="108">
        <f>Y74+DexDM</f>
        <v>-3</v>
      </c>
      <c r="AC74" s="117">
        <f>Y74+EndDM</f>
        <v>-3</v>
      </c>
      <c r="AD74" s="108">
        <f>Y74+IntDM</f>
        <v>-3</v>
      </c>
      <c r="AE74" s="108">
        <f>Y74+EduDM</f>
        <v>-3</v>
      </c>
      <c r="AF74" s="118">
        <f>Y74+SocDM</f>
        <v>-3</v>
      </c>
      <c r="AG74" s="1"/>
    </row>
    <row r="75" ht="16.5" customHeight="1">
      <c r="A75" s="1"/>
      <c r="B75" s="116" t="s">
        <v>179</v>
      </c>
      <c r="C75" s="112" t="s">
        <v>183</v>
      </c>
      <c r="D75" s="43"/>
      <c r="E75" s="105"/>
      <c r="F75" s="37" t="s">
        <v>62</v>
      </c>
      <c r="G75" s="93">
        <v>0.0</v>
      </c>
      <c r="H75" s="92">
        <f>G75+IF(F75="--",IF(COUNTIF($F$73:$F$76,"&lt;&gt;--")&gt;0,0,Unskilled),F75)</f>
        <v>-3</v>
      </c>
      <c r="I75" s="106"/>
      <c r="J75" s="71">
        <f>H75+StrDM</f>
        <v>-3</v>
      </c>
      <c r="K75" s="92">
        <f>H75+DexDM</f>
        <v>-3</v>
      </c>
      <c r="L75" s="124">
        <f>H75+EndDM</f>
        <v>-3</v>
      </c>
      <c r="M75" s="92">
        <f>H75+IntDM</f>
        <v>-3</v>
      </c>
      <c r="N75" s="117">
        <f>H75+EduDM</f>
        <v>-3</v>
      </c>
      <c r="O75" s="118">
        <f>H75+SocDM</f>
        <v>-3</v>
      </c>
      <c r="P75" s="1"/>
      <c r="Q75" s="88" t="s">
        <v>180</v>
      </c>
      <c r="R75" s="43"/>
      <c r="S75" s="105"/>
      <c r="T75" s="112" t="s">
        <v>184</v>
      </c>
      <c r="U75" s="43"/>
      <c r="V75" s="105"/>
      <c r="W75" s="37" t="s">
        <v>62</v>
      </c>
      <c r="X75" s="93">
        <v>0.0</v>
      </c>
      <c r="Y75" s="92">
        <f>X75+IF(W75="--",IF(COUNTIF($W$73:$W$77,"&lt;&gt;--")&gt;0,0,Unskilled),W75)</f>
        <v>-3</v>
      </c>
      <c r="Z75" s="106"/>
      <c r="AA75" s="71">
        <f>Y75+StrDM</f>
        <v>-3</v>
      </c>
      <c r="AB75" s="108">
        <f>Y75+DexDM</f>
        <v>-3</v>
      </c>
      <c r="AC75" s="117">
        <f>Y75+EndDM</f>
        <v>-3</v>
      </c>
      <c r="AD75" s="108">
        <f>Y75+IntDM</f>
        <v>-3</v>
      </c>
      <c r="AE75" s="108">
        <f>Y75+EduDM</f>
        <v>-3</v>
      </c>
      <c r="AF75" s="118">
        <f>Y75+SocDM</f>
        <v>-3</v>
      </c>
      <c r="AG75" s="1"/>
    </row>
    <row r="76" ht="16.5" customHeight="1">
      <c r="A76" s="1"/>
      <c r="B76" s="116" t="s">
        <v>179</v>
      </c>
      <c r="C76" s="112" t="s">
        <v>185</v>
      </c>
      <c r="D76" s="43"/>
      <c r="E76" s="105"/>
      <c r="F76" s="37" t="s">
        <v>62</v>
      </c>
      <c r="G76" s="93">
        <v>0.0</v>
      </c>
      <c r="H76" s="92">
        <f>G76+IF(F76="--",IF(COUNTIF($F$73:$F$76,"&lt;&gt;--")&gt;0,0,Unskilled),F76)</f>
        <v>-3</v>
      </c>
      <c r="I76" s="106"/>
      <c r="J76" s="71">
        <f>H76+StrDM</f>
        <v>-3</v>
      </c>
      <c r="K76" s="92">
        <f>H76+DexDM</f>
        <v>-3</v>
      </c>
      <c r="L76" s="124">
        <f>H76+EndDM</f>
        <v>-3</v>
      </c>
      <c r="M76" s="92">
        <f>H76+IntDM</f>
        <v>-3</v>
      </c>
      <c r="N76" s="117">
        <f>H76+EduDM</f>
        <v>-3</v>
      </c>
      <c r="O76" s="118">
        <f>H76+SocDM</f>
        <v>-3</v>
      </c>
      <c r="P76" s="1"/>
      <c r="Q76" s="88" t="s">
        <v>180</v>
      </c>
      <c r="R76" s="43"/>
      <c r="S76" s="105"/>
      <c r="T76" s="112" t="s">
        <v>186</v>
      </c>
      <c r="U76" s="43"/>
      <c r="V76" s="105"/>
      <c r="W76" s="37" t="s">
        <v>62</v>
      </c>
      <c r="X76" s="93">
        <v>0.0</v>
      </c>
      <c r="Y76" s="92">
        <f>X76+IF(W76="--",IF(COUNTIF($W$73:$W$77,"&lt;&gt;--")&gt;0,0,Unskilled),W76)</f>
        <v>-3</v>
      </c>
      <c r="Z76" s="106"/>
      <c r="AA76" s="71">
        <f>Y76+StrDM</f>
        <v>-3</v>
      </c>
      <c r="AB76" s="108">
        <f>Y76+DexDM</f>
        <v>-3</v>
      </c>
      <c r="AC76" s="117">
        <f>Y76+EndDM</f>
        <v>-3</v>
      </c>
      <c r="AD76" s="108">
        <f>Y76+IntDM</f>
        <v>-3</v>
      </c>
      <c r="AE76" s="108">
        <f>Y76+EduDM</f>
        <v>-3</v>
      </c>
      <c r="AF76" s="118">
        <f>Y76+SocDM</f>
        <v>-3</v>
      </c>
      <c r="AG76" s="1"/>
    </row>
    <row r="77" ht="16.5" customHeight="1">
      <c r="A77" s="1"/>
      <c r="B77" s="88" t="s">
        <v>187</v>
      </c>
      <c r="C77" s="43"/>
      <c r="D77" s="43"/>
      <c r="E77" s="105"/>
      <c r="F77" s="37" t="s">
        <v>62</v>
      </c>
      <c r="G77" s="93">
        <v>0.0</v>
      </c>
      <c r="H77" s="92">
        <f>G77+IF(F77="--",Unskilled,F77)</f>
        <v>-3</v>
      </c>
      <c r="I77" s="106"/>
      <c r="J77" s="107">
        <f>H77+StrDM</f>
        <v>-3</v>
      </c>
      <c r="K77" s="108">
        <f>H77+DexDM</f>
        <v>-3</v>
      </c>
      <c r="L77" s="110">
        <f>H77+EndDM</f>
        <v>-3</v>
      </c>
      <c r="M77" s="92">
        <f>H77+IntDM</f>
        <v>-3</v>
      </c>
      <c r="N77" s="117">
        <f>H77+EduDM</f>
        <v>-3</v>
      </c>
      <c r="O77" s="118">
        <f>H77+SocDM</f>
        <v>-3</v>
      </c>
      <c r="P77" s="1"/>
      <c r="Q77" s="88" t="s">
        <v>180</v>
      </c>
      <c r="R77" s="43"/>
      <c r="S77" s="105"/>
      <c r="T77" s="112" t="s">
        <v>188</v>
      </c>
      <c r="U77" s="43"/>
      <c r="V77" s="105"/>
      <c r="W77" s="37" t="s">
        <v>62</v>
      </c>
      <c r="X77" s="93">
        <v>0.0</v>
      </c>
      <c r="Y77" s="92">
        <f>X77+IF(W77="--",IF(COUNTIF($W$73:$W$77,"&lt;&gt;--")&gt;0,0,Unskilled),W77)</f>
        <v>-3</v>
      </c>
      <c r="Z77" s="106"/>
      <c r="AA77" s="71">
        <f>Y77+StrDM</f>
        <v>-3</v>
      </c>
      <c r="AB77" s="108">
        <f>Y77+DexDM</f>
        <v>-3</v>
      </c>
      <c r="AC77" s="117">
        <f>Y77+EndDM</f>
        <v>-3</v>
      </c>
      <c r="AD77" s="108">
        <f>Y77+IntDM</f>
        <v>-3</v>
      </c>
      <c r="AE77" s="108">
        <f>Y77+EduDM</f>
        <v>-3</v>
      </c>
      <c r="AF77" s="118">
        <f>Y77+SocDM</f>
        <v>-3</v>
      </c>
      <c r="AG77" s="1"/>
    </row>
    <row r="78" ht="16.5" customHeight="1">
      <c r="A78" s="1"/>
      <c r="B78" s="88" t="s">
        <v>189</v>
      </c>
      <c r="C78" s="43"/>
      <c r="D78" s="43"/>
      <c r="E78" s="105"/>
      <c r="F78" s="45" t="s">
        <v>62</v>
      </c>
      <c r="G78" s="126" t="s">
        <v>62</v>
      </c>
      <c r="H78" s="92">
        <f>-3+IF(F78="--",0,F78)</f>
        <v>-3</v>
      </c>
      <c r="I78" s="127" t="s">
        <v>190</v>
      </c>
      <c r="J78" s="1"/>
      <c r="K78" s="1"/>
      <c r="L78" s="1"/>
      <c r="M78" s="1"/>
      <c r="N78" s="1"/>
      <c r="O78" s="1"/>
      <c r="P78" s="1"/>
      <c r="Q78" s="88" t="s">
        <v>191</v>
      </c>
      <c r="R78" s="43"/>
      <c r="S78" s="43"/>
      <c r="T78" s="43"/>
      <c r="U78" s="43"/>
      <c r="V78" s="105"/>
      <c r="W78" s="37" t="s">
        <v>62</v>
      </c>
      <c r="X78" s="93">
        <v>0.0</v>
      </c>
      <c r="Y78" s="92">
        <f>X78+IF(W78="--",Unskilled,W78)</f>
        <v>-3</v>
      </c>
      <c r="Z78" s="106"/>
      <c r="AA78" s="71">
        <f>Y78+StrDM</f>
        <v>-3</v>
      </c>
      <c r="AB78" s="92">
        <f>Y78+DexDM</f>
        <v>-3</v>
      </c>
      <c r="AC78" s="117">
        <f>Y78+EndDM</f>
        <v>-3</v>
      </c>
      <c r="AD78" s="108">
        <f>Y78+IntDM</f>
        <v>-3</v>
      </c>
      <c r="AE78" s="108">
        <f>Y78+EduDM</f>
        <v>-3</v>
      </c>
      <c r="AF78" s="118">
        <f>Y78+SocDM</f>
        <v>-3</v>
      </c>
      <c r="AG78" s="1"/>
    </row>
    <row r="79" ht="16.5" customHeight="1">
      <c r="A79" s="1"/>
      <c r="B79" s="80" t="s">
        <v>192</v>
      </c>
      <c r="J79" s="128" t="s">
        <v>79</v>
      </c>
      <c r="P79" s="1"/>
      <c r="Q79" s="88" t="s">
        <v>193</v>
      </c>
      <c r="R79" s="43"/>
      <c r="S79" s="43"/>
      <c r="T79" s="43"/>
      <c r="U79" s="43"/>
      <c r="V79" s="105"/>
      <c r="W79" s="37" t="s">
        <v>62</v>
      </c>
      <c r="X79" s="93">
        <v>0.0</v>
      </c>
      <c r="Y79" s="92">
        <f>X79+IF(W79="--",Unskilled,W79)</f>
        <v>-3</v>
      </c>
      <c r="Z79" s="106"/>
      <c r="AA79" s="107">
        <f>Y79+StrDM</f>
        <v>-3</v>
      </c>
      <c r="AB79" s="108">
        <f>Y79+DexDM</f>
        <v>-3</v>
      </c>
      <c r="AC79" s="108">
        <f>Y79+EndDM</f>
        <v>-3</v>
      </c>
      <c r="AD79" s="110">
        <f>Y79+IntDM</f>
        <v>-3</v>
      </c>
      <c r="AE79" s="92">
        <f>Y79+EduDM</f>
        <v>-3</v>
      </c>
      <c r="AF79" s="92">
        <f>Y79+SocDM</f>
        <v>-3</v>
      </c>
      <c r="AG79" s="1"/>
    </row>
    <row r="80" ht="16.5" customHeight="1">
      <c r="A80" s="1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1"/>
      <c r="Q80" s="88" t="s">
        <v>194</v>
      </c>
      <c r="R80" s="43"/>
      <c r="S80" s="43"/>
      <c r="T80" s="43"/>
      <c r="U80" s="43"/>
      <c r="V80" s="105"/>
      <c r="W80" s="37" t="s">
        <v>62</v>
      </c>
      <c r="X80" s="93">
        <v>0.0</v>
      </c>
      <c r="Y80" s="92">
        <f>X80+IF(W80="--",Unskilled,W80)</f>
        <v>-3</v>
      </c>
      <c r="Z80" s="106"/>
      <c r="AA80" s="107">
        <f>Y80+StrDM</f>
        <v>-3</v>
      </c>
      <c r="AB80" s="108">
        <f>Y80+DexDM</f>
        <v>-3</v>
      </c>
      <c r="AC80" s="110">
        <f>Y80+EndDM</f>
        <v>-3</v>
      </c>
      <c r="AD80" s="92">
        <f>Y80+IntDM</f>
        <v>-3</v>
      </c>
      <c r="AE80" s="117">
        <f>Y80+EduDM</f>
        <v>-3</v>
      </c>
      <c r="AF80" s="118">
        <f>Y80+SocDM</f>
        <v>-3</v>
      </c>
      <c r="AG80" s="1"/>
    </row>
    <row r="81" ht="16.5" customHeight="1">
      <c r="A81" s="1"/>
      <c r="B81" s="6" t="s">
        <v>3</v>
      </c>
      <c r="C81" s="6" t="s">
        <v>81</v>
      </c>
      <c r="F81" s="6" t="s">
        <v>57</v>
      </c>
      <c r="G81" s="6" t="s">
        <v>36</v>
      </c>
      <c r="H81" s="6" t="s">
        <v>34</v>
      </c>
      <c r="I81" s="102"/>
      <c r="J81" s="103" t="s">
        <v>44</v>
      </c>
      <c r="K81" s="6" t="s">
        <v>51</v>
      </c>
      <c r="L81" s="6" t="s">
        <v>56</v>
      </c>
      <c r="M81" s="6" t="s">
        <v>64</v>
      </c>
      <c r="N81" s="6" t="s">
        <v>71</v>
      </c>
      <c r="O81" s="104" t="s">
        <v>75</v>
      </c>
      <c r="P81" s="1"/>
      <c r="Q81" s="88" t="s">
        <v>195</v>
      </c>
      <c r="R81" s="43"/>
      <c r="S81" s="43"/>
      <c r="T81" s="43"/>
      <c r="U81" s="43"/>
      <c r="V81" s="105"/>
      <c r="W81" s="37" t="s">
        <v>62</v>
      </c>
      <c r="X81" s="93">
        <v>0.0</v>
      </c>
      <c r="Y81" s="92">
        <f>X81+IF(W81="--",Unskilled,W81)</f>
        <v>-3</v>
      </c>
      <c r="Z81" s="106"/>
      <c r="AA81" s="107">
        <f>Y81+StrDM</f>
        <v>-3</v>
      </c>
      <c r="AB81" s="108">
        <f>Y81+DexDM</f>
        <v>-3</v>
      </c>
      <c r="AC81" s="110">
        <f>Y81+EndDM</f>
        <v>-3</v>
      </c>
      <c r="AD81" s="92">
        <f>Y81+IntDM</f>
        <v>-3</v>
      </c>
      <c r="AE81" s="92">
        <f>Y81+EduDM</f>
        <v>-3</v>
      </c>
      <c r="AF81" s="111">
        <f>Y81+SocDM</f>
        <v>-3</v>
      </c>
      <c r="AG81" s="1"/>
    </row>
    <row r="82" ht="16.5" customHeight="1">
      <c r="A82" s="1"/>
      <c r="B82" s="129"/>
      <c r="C82" s="121"/>
      <c r="D82" s="43"/>
      <c r="E82" s="89"/>
      <c r="F82" s="31" t="s">
        <v>62</v>
      </c>
      <c r="G82" s="90">
        <v>0.0</v>
      </c>
      <c r="H82" s="92">
        <f>G82+IF(F82="--",Unskilled,F82)</f>
        <v>-3</v>
      </c>
      <c r="I82" s="106"/>
      <c r="J82" s="107">
        <f>H82+StrDM</f>
        <v>-3</v>
      </c>
      <c r="K82" s="108">
        <f>H82+DexDM</f>
        <v>-3</v>
      </c>
      <c r="L82" s="108">
        <f>H82+EndDM</f>
        <v>-3</v>
      </c>
      <c r="M82" s="108">
        <f>H82+IntDM</f>
        <v>-3</v>
      </c>
      <c r="N82" s="108">
        <f>H82+EduDM</f>
        <v>-3</v>
      </c>
      <c r="O82" s="118">
        <f>H82+SocDM</f>
        <v>-3</v>
      </c>
      <c r="P82" s="1"/>
      <c r="Q82" s="88" t="s">
        <v>196</v>
      </c>
      <c r="R82" s="43"/>
      <c r="S82" s="43"/>
      <c r="T82" s="43"/>
      <c r="U82" s="43"/>
      <c r="V82" s="105"/>
      <c r="W82" s="37" t="s">
        <v>62</v>
      </c>
      <c r="X82" s="93">
        <v>0.0</v>
      </c>
      <c r="Y82" s="92">
        <f>X82+IF(W82="--",IF(COUNTIF($W$82:$W$84,"&lt;&gt;--")&gt;0,0,Unskilled),W82)</f>
        <v>-3</v>
      </c>
      <c r="Z82" s="106"/>
      <c r="AA82" s="107">
        <f>Y82+StrDM</f>
        <v>-3</v>
      </c>
      <c r="AB82" s="108">
        <f>Y82+DexDM</f>
        <v>-3</v>
      </c>
      <c r="AC82" s="110">
        <f>Y82+EndDM</f>
        <v>-3</v>
      </c>
      <c r="AD82" s="92">
        <f>Y82+IntDM</f>
        <v>-3</v>
      </c>
      <c r="AE82" s="117">
        <f>Y82+EduDM</f>
        <v>-3</v>
      </c>
      <c r="AF82" s="118">
        <f>Y82+SocDM</f>
        <v>-3</v>
      </c>
      <c r="AG82" s="1"/>
    </row>
    <row r="83" ht="16.5" customHeight="1">
      <c r="A83" s="1"/>
      <c r="B83" s="129"/>
      <c r="C83" s="121"/>
      <c r="D83" s="43"/>
      <c r="E83" s="89"/>
      <c r="F83" s="37" t="s">
        <v>62</v>
      </c>
      <c r="G83" s="93">
        <v>0.0</v>
      </c>
      <c r="H83" s="92">
        <f>G83+IF(F83="--",Unskilled,F83)</f>
        <v>-3</v>
      </c>
      <c r="I83" s="106"/>
      <c r="J83" s="107">
        <f>H83+StrDM</f>
        <v>-3</v>
      </c>
      <c r="K83" s="108">
        <f>H83+DexDM</f>
        <v>-3</v>
      </c>
      <c r="L83" s="108">
        <f>H83+EndDM</f>
        <v>-3</v>
      </c>
      <c r="M83" s="108">
        <f>H83+IntDM</f>
        <v>-3</v>
      </c>
      <c r="N83" s="108">
        <f>H83+EduDM</f>
        <v>-3</v>
      </c>
      <c r="O83" s="118">
        <f>H83+SocDM</f>
        <v>-3</v>
      </c>
      <c r="P83" s="1"/>
      <c r="Q83" s="88" t="s">
        <v>196</v>
      </c>
      <c r="R83" s="43"/>
      <c r="S83" s="105"/>
      <c r="T83" s="112" t="s">
        <v>197</v>
      </c>
      <c r="U83" s="43"/>
      <c r="V83" s="105"/>
      <c r="W83" s="37" t="s">
        <v>62</v>
      </c>
      <c r="X83" s="93">
        <v>0.0</v>
      </c>
      <c r="Y83" s="92">
        <f>X83+IF(W83="--",IF(COUNTIF($W$82:$W$84,"&lt;&gt;--")&gt;0,0,Unskilled),W83)</f>
        <v>-3</v>
      </c>
      <c r="Z83" s="106"/>
      <c r="AA83" s="107">
        <f>Y83+StrDM</f>
        <v>-3</v>
      </c>
      <c r="AB83" s="108">
        <f>Y83+DexDM</f>
        <v>-3</v>
      </c>
      <c r="AC83" s="110">
        <f>Y83+EndDM</f>
        <v>-3</v>
      </c>
      <c r="AD83" s="92">
        <f>Y83+IntDM</f>
        <v>-3</v>
      </c>
      <c r="AE83" s="117">
        <f>Y83+EduDM</f>
        <v>-3</v>
      </c>
      <c r="AF83" s="118">
        <f>Y83+SocDM</f>
        <v>-3</v>
      </c>
      <c r="AG83" s="1"/>
    </row>
    <row r="84" ht="16.5" customHeight="1">
      <c r="A84" s="1"/>
      <c r="B84" s="129"/>
      <c r="C84" s="121"/>
      <c r="D84" s="43"/>
      <c r="E84" s="89"/>
      <c r="F84" s="37" t="s">
        <v>62</v>
      </c>
      <c r="G84" s="93">
        <v>0.0</v>
      </c>
      <c r="H84" s="92">
        <f>G84+IF(F84="--",Unskilled,F84)</f>
        <v>-3</v>
      </c>
      <c r="I84" s="106"/>
      <c r="J84" s="107">
        <f>H84+StrDM</f>
        <v>-3</v>
      </c>
      <c r="K84" s="108">
        <f>H84+DexDM</f>
        <v>-3</v>
      </c>
      <c r="L84" s="108">
        <f>H84+EndDM</f>
        <v>-3</v>
      </c>
      <c r="M84" s="108">
        <f>H84+IntDM</f>
        <v>-3</v>
      </c>
      <c r="N84" s="108">
        <f>H84+EduDM</f>
        <v>-3</v>
      </c>
      <c r="O84" s="118">
        <f>H84+SocDM</f>
        <v>-3</v>
      </c>
      <c r="P84" s="1"/>
      <c r="Q84" s="88" t="s">
        <v>196</v>
      </c>
      <c r="R84" s="43"/>
      <c r="S84" s="105"/>
      <c r="T84" s="112" t="s">
        <v>198</v>
      </c>
      <c r="U84" s="43"/>
      <c r="V84" s="105"/>
      <c r="W84" s="37" t="s">
        <v>62</v>
      </c>
      <c r="X84" s="93">
        <v>0.0</v>
      </c>
      <c r="Y84" s="92">
        <f>X84+IF(W84="--",IF(COUNTIF($W$82:$W$84,"&lt;&gt;--")&gt;0,0,Unskilled),W84)</f>
        <v>-3</v>
      </c>
      <c r="Z84" s="106"/>
      <c r="AA84" s="107">
        <f>Y84+StrDM</f>
        <v>-3</v>
      </c>
      <c r="AB84" s="108">
        <f>Y84+DexDM</f>
        <v>-3</v>
      </c>
      <c r="AC84" s="110">
        <f>Y84+EndDM</f>
        <v>-3</v>
      </c>
      <c r="AD84" s="92">
        <f>Y84+IntDM</f>
        <v>-3</v>
      </c>
      <c r="AE84" s="117">
        <f>Y84+EduDM</f>
        <v>-3</v>
      </c>
      <c r="AF84" s="118">
        <f>Y84+SocDM</f>
        <v>-3</v>
      </c>
      <c r="AG84" s="1"/>
    </row>
    <row r="85" ht="16.5" customHeight="1">
      <c r="A85" s="1"/>
      <c r="B85" s="129"/>
      <c r="C85" s="121"/>
      <c r="D85" s="43"/>
      <c r="E85" s="89"/>
      <c r="F85" s="45" t="s">
        <v>62</v>
      </c>
      <c r="G85" s="97">
        <v>0.0</v>
      </c>
      <c r="H85" s="92">
        <f>G85+IF(F85="--",Unskilled,F85)</f>
        <v>-3</v>
      </c>
      <c r="I85" s="106"/>
      <c r="J85" s="107">
        <f>H85+StrDM</f>
        <v>-3</v>
      </c>
      <c r="K85" s="108">
        <f>H85+DexDM</f>
        <v>-3</v>
      </c>
      <c r="L85" s="108">
        <f>H85+EndDM</f>
        <v>-3</v>
      </c>
      <c r="M85" s="108">
        <f>H85+IntDM</f>
        <v>-3</v>
      </c>
      <c r="N85" s="108">
        <f>H85+EduDM</f>
        <v>-3</v>
      </c>
      <c r="O85" s="118">
        <f>H85+SocDM</f>
        <v>-3</v>
      </c>
      <c r="P85" s="1"/>
      <c r="Q85" s="88" t="s">
        <v>199</v>
      </c>
      <c r="R85" s="43"/>
      <c r="S85" s="43"/>
      <c r="T85" s="43"/>
      <c r="U85" s="43"/>
      <c r="V85" s="105"/>
      <c r="W85" s="45" t="s">
        <v>62</v>
      </c>
      <c r="X85" s="97">
        <v>0.0</v>
      </c>
      <c r="Y85" s="92">
        <f>X85+IF(W85="--",Unskilled,W85)</f>
        <v>-3</v>
      </c>
      <c r="Z85" s="106"/>
      <c r="AA85" s="107">
        <f>Y85+StrDM</f>
        <v>-3</v>
      </c>
      <c r="AB85" s="108">
        <f>Y85+DexDM</f>
        <v>-3</v>
      </c>
      <c r="AC85" s="108">
        <f>Y85+EndDM</f>
        <v>-3</v>
      </c>
      <c r="AD85" s="110">
        <f>Y85+IntDM</f>
        <v>-3</v>
      </c>
      <c r="AE85" s="92">
        <f>Y85+EduDM</f>
        <v>-3</v>
      </c>
      <c r="AF85" s="111">
        <f>Y85+SocDM</f>
        <v>-3</v>
      </c>
      <c r="AG85" s="1"/>
    </row>
    <row r="86" ht="6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</sheetData>
  <mergeCells count="261">
    <mergeCell ref="C52:E52"/>
    <mergeCell ref="C53:E53"/>
    <mergeCell ref="C54:E54"/>
    <mergeCell ref="C55:E55"/>
    <mergeCell ref="B56:E56"/>
    <mergeCell ref="B57:E57"/>
    <mergeCell ref="C58:E58"/>
    <mergeCell ref="C59:E59"/>
    <mergeCell ref="C60:E60"/>
    <mergeCell ref="C61:E61"/>
    <mergeCell ref="C62:E62"/>
    <mergeCell ref="B63:E63"/>
    <mergeCell ref="B64:E64"/>
    <mergeCell ref="C65:E65"/>
    <mergeCell ref="C3:C4"/>
    <mergeCell ref="C5:C6"/>
    <mergeCell ref="D5:D6"/>
    <mergeCell ref="E5:E6"/>
    <mergeCell ref="F5:F6"/>
    <mergeCell ref="G5:G6"/>
    <mergeCell ref="C7:C8"/>
    <mergeCell ref="D7:D8"/>
    <mergeCell ref="E7:E8"/>
    <mergeCell ref="C9:C10"/>
    <mergeCell ref="D9:D10"/>
    <mergeCell ref="E9:E10"/>
    <mergeCell ref="F9:F10"/>
    <mergeCell ref="G9:G10"/>
    <mergeCell ref="C13:C14"/>
    <mergeCell ref="D13:D14"/>
    <mergeCell ref="E13:E14"/>
    <mergeCell ref="F13:F14"/>
    <mergeCell ref="G13:G14"/>
    <mergeCell ref="B16:E16"/>
    <mergeCell ref="F16:G16"/>
    <mergeCell ref="B17:H17"/>
    <mergeCell ref="C18:E18"/>
    <mergeCell ref="B19:E19"/>
    <mergeCell ref="B20:E20"/>
    <mergeCell ref="B21:E21"/>
    <mergeCell ref="C22:E22"/>
    <mergeCell ref="C23:E23"/>
    <mergeCell ref="C24:E24"/>
    <mergeCell ref="B25:E25"/>
    <mergeCell ref="C26:E26"/>
    <mergeCell ref="C27:E27"/>
    <mergeCell ref="C28:E28"/>
    <mergeCell ref="C29:E29"/>
    <mergeCell ref="C30:E30"/>
    <mergeCell ref="B31:E31"/>
    <mergeCell ref="B32:E32"/>
    <mergeCell ref="C33:E33"/>
    <mergeCell ref="C34:E34"/>
    <mergeCell ref="C35:E35"/>
    <mergeCell ref="B36:E36"/>
    <mergeCell ref="B37:E37"/>
    <mergeCell ref="C66:E66"/>
    <mergeCell ref="C67:E67"/>
    <mergeCell ref="C68:E68"/>
    <mergeCell ref="B69:E69"/>
    <mergeCell ref="C70:E70"/>
    <mergeCell ref="C71:E71"/>
    <mergeCell ref="C72:E72"/>
    <mergeCell ref="B1:G1"/>
    <mergeCell ref="I1:Q1"/>
    <mergeCell ref="S1:X1"/>
    <mergeCell ref="Z1:AF1"/>
    <mergeCell ref="U2:V2"/>
    <mergeCell ref="W2:X2"/>
    <mergeCell ref="Z2:AE2"/>
    <mergeCell ref="Z3:AE3"/>
    <mergeCell ref="Z4:AA4"/>
    <mergeCell ref="AB4:AF4"/>
    <mergeCell ref="AB5:AF5"/>
    <mergeCell ref="Z7:AF8"/>
    <mergeCell ref="Z10:AD10"/>
    <mergeCell ref="N3:N4"/>
    <mergeCell ref="O3:O4"/>
    <mergeCell ref="P3:P4"/>
    <mergeCell ref="Q3:Q4"/>
    <mergeCell ref="S3:T3"/>
    <mergeCell ref="U3:V3"/>
    <mergeCell ref="W3:X3"/>
    <mergeCell ref="I5:Q6"/>
    <mergeCell ref="S5:T6"/>
    <mergeCell ref="U5:V5"/>
    <mergeCell ref="W5:X5"/>
    <mergeCell ref="Z5:AA6"/>
    <mergeCell ref="U6:V6"/>
    <mergeCell ref="W6:X6"/>
    <mergeCell ref="D3:D4"/>
    <mergeCell ref="E3:E4"/>
    <mergeCell ref="F3:F4"/>
    <mergeCell ref="G3:G4"/>
    <mergeCell ref="I3:L3"/>
    <mergeCell ref="M3:M4"/>
    <mergeCell ref="I4:L4"/>
    <mergeCell ref="F7:F8"/>
    <mergeCell ref="G7:G8"/>
    <mergeCell ref="I7:M7"/>
    <mergeCell ref="I8:M8"/>
    <mergeCell ref="S8:T8"/>
    <mergeCell ref="I9:M9"/>
    <mergeCell ref="I10:M10"/>
    <mergeCell ref="C11:C12"/>
    <mergeCell ref="D11:D12"/>
    <mergeCell ref="E11:E12"/>
    <mergeCell ref="F11:F12"/>
    <mergeCell ref="G11:G12"/>
    <mergeCell ref="I11:M11"/>
    <mergeCell ref="I12:M12"/>
    <mergeCell ref="I13:M13"/>
    <mergeCell ref="I14:M14"/>
    <mergeCell ref="J17:O17"/>
    <mergeCell ref="Q17:Y17"/>
    <mergeCell ref="AA17:AF17"/>
    <mergeCell ref="Q18:S18"/>
    <mergeCell ref="T18:V18"/>
    <mergeCell ref="Q19:V19"/>
    <mergeCell ref="Q20:S20"/>
    <mergeCell ref="T20:V20"/>
    <mergeCell ref="Q21:S21"/>
    <mergeCell ref="T21:V21"/>
    <mergeCell ref="Q22:S22"/>
    <mergeCell ref="T22:V22"/>
    <mergeCell ref="Q26:S26"/>
    <mergeCell ref="Q27:S27"/>
    <mergeCell ref="Q28:S28"/>
    <mergeCell ref="Q29:S29"/>
    <mergeCell ref="Q23:S23"/>
    <mergeCell ref="T23:V23"/>
    <mergeCell ref="Q24:S24"/>
    <mergeCell ref="T24:V24"/>
    <mergeCell ref="Q25:S25"/>
    <mergeCell ref="T25:V25"/>
    <mergeCell ref="T26:V26"/>
    <mergeCell ref="T27:V27"/>
    <mergeCell ref="T28:V28"/>
    <mergeCell ref="T29:V29"/>
    <mergeCell ref="Q30:V30"/>
    <mergeCell ref="Q31:V31"/>
    <mergeCell ref="Q32:V32"/>
    <mergeCell ref="Q33:V33"/>
    <mergeCell ref="Q42:S42"/>
    <mergeCell ref="Q43:S43"/>
    <mergeCell ref="T43:V43"/>
    <mergeCell ref="Q44:V44"/>
    <mergeCell ref="B38:E38"/>
    <mergeCell ref="B39:E39"/>
    <mergeCell ref="B40:E40"/>
    <mergeCell ref="C41:E41"/>
    <mergeCell ref="C42:E42"/>
    <mergeCell ref="C43:E43"/>
    <mergeCell ref="C44:E44"/>
    <mergeCell ref="C45:E45"/>
    <mergeCell ref="B46:E46"/>
    <mergeCell ref="C47:E47"/>
    <mergeCell ref="C48:E48"/>
    <mergeCell ref="C49:E49"/>
    <mergeCell ref="C50:E50"/>
    <mergeCell ref="B51:E51"/>
    <mergeCell ref="T63:V63"/>
    <mergeCell ref="T64:V64"/>
    <mergeCell ref="T56:V56"/>
    <mergeCell ref="T57:V57"/>
    <mergeCell ref="T58:V58"/>
    <mergeCell ref="T59:V59"/>
    <mergeCell ref="T60:V60"/>
    <mergeCell ref="T61:V61"/>
    <mergeCell ref="T62:V62"/>
    <mergeCell ref="Q70:S70"/>
    <mergeCell ref="Q71:S71"/>
    <mergeCell ref="Q72:S72"/>
    <mergeCell ref="Q67:S67"/>
    <mergeCell ref="T67:V67"/>
    <mergeCell ref="Q68:S68"/>
    <mergeCell ref="T68:V68"/>
    <mergeCell ref="Q69:S69"/>
    <mergeCell ref="T69:V69"/>
    <mergeCell ref="T70:V70"/>
    <mergeCell ref="T71:V71"/>
    <mergeCell ref="T72:V72"/>
    <mergeCell ref="Q73:V73"/>
    <mergeCell ref="Q74:S74"/>
    <mergeCell ref="T74:V74"/>
    <mergeCell ref="Q75:S75"/>
    <mergeCell ref="T75:V75"/>
    <mergeCell ref="Q80:V80"/>
    <mergeCell ref="Q81:V81"/>
    <mergeCell ref="Q82:V82"/>
    <mergeCell ref="Q83:S83"/>
    <mergeCell ref="T83:V83"/>
    <mergeCell ref="Q84:S84"/>
    <mergeCell ref="T84:V84"/>
    <mergeCell ref="Q85:V85"/>
    <mergeCell ref="Q76:S76"/>
    <mergeCell ref="T76:V76"/>
    <mergeCell ref="Q77:S77"/>
    <mergeCell ref="T77:V77"/>
    <mergeCell ref="Q78:V78"/>
    <mergeCell ref="J79:O80"/>
    <mergeCell ref="Q79:V79"/>
    <mergeCell ref="Q34:S34"/>
    <mergeCell ref="T34:V34"/>
    <mergeCell ref="Q35:S35"/>
    <mergeCell ref="T35:V35"/>
    <mergeCell ref="Q36:S36"/>
    <mergeCell ref="T36:V36"/>
    <mergeCell ref="Q37:S37"/>
    <mergeCell ref="T37:V37"/>
    <mergeCell ref="Q38:V38"/>
    <mergeCell ref="Q39:V39"/>
    <mergeCell ref="Q40:V40"/>
    <mergeCell ref="Q41:S41"/>
    <mergeCell ref="T41:V41"/>
    <mergeCell ref="T42:V42"/>
    <mergeCell ref="Q48:S48"/>
    <mergeCell ref="Q49:S49"/>
    <mergeCell ref="Q50:S50"/>
    <mergeCell ref="Q51:S51"/>
    <mergeCell ref="Q52:S52"/>
    <mergeCell ref="Q45:S45"/>
    <mergeCell ref="T45:V45"/>
    <mergeCell ref="Q46:S46"/>
    <mergeCell ref="T46:V46"/>
    <mergeCell ref="Q47:S47"/>
    <mergeCell ref="T47:V47"/>
    <mergeCell ref="T48:V48"/>
    <mergeCell ref="T49:V49"/>
    <mergeCell ref="T50:V50"/>
    <mergeCell ref="T51:V51"/>
    <mergeCell ref="T52:V52"/>
    <mergeCell ref="Q53:V53"/>
    <mergeCell ref="Q54:V54"/>
    <mergeCell ref="T55:V55"/>
    <mergeCell ref="Q55:S55"/>
    <mergeCell ref="Q56:S56"/>
    <mergeCell ref="Q57:S57"/>
    <mergeCell ref="Q58:S58"/>
    <mergeCell ref="Q59:S59"/>
    <mergeCell ref="Q60:S60"/>
    <mergeCell ref="Q61:S61"/>
    <mergeCell ref="Q62:S62"/>
    <mergeCell ref="Q63:S63"/>
    <mergeCell ref="Q64:S64"/>
    <mergeCell ref="Q65:S65"/>
    <mergeCell ref="T65:V65"/>
    <mergeCell ref="Q66:S66"/>
    <mergeCell ref="T66:V66"/>
    <mergeCell ref="C81:E81"/>
    <mergeCell ref="C82:E82"/>
    <mergeCell ref="C83:E83"/>
    <mergeCell ref="C84:E84"/>
    <mergeCell ref="C85:E85"/>
    <mergeCell ref="B73:E73"/>
    <mergeCell ref="C74:E74"/>
    <mergeCell ref="C75:E75"/>
    <mergeCell ref="C76:E76"/>
    <mergeCell ref="B77:E77"/>
    <mergeCell ref="B78:E78"/>
    <mergeCell ref="B79:I80"/>
  </mergeCells>
  <conditionalFormatting sqref="AE10">
    <cfRule type="cellIs" dxfId="2" priority="1" operator="greaterThan">
      <formula>AF10</formula>
    </cfRule>
  </conditionalFormatting>
  <conditionalFormatting sqref="U8">
    <cfRule type="cellIs" dxfId="0" priority="2" operator="equal">
      <formula>"FALSE"</formula>
    </cfRule>
  </conditionalFormatting>
  <conditionalFormatting sqref="U8">
    <cfRule type="cellIs" dxfId="3" priority="3" operator="equal">
      <formula>"TRUE"</formula>
    </cfRule>
  </conditionalFormatting>
  <dataValidations>
    <dataValidation type="list" allowBlank="1" showErrorMessage="1" sqref="N8:N14 F19:F20 F31 W30:W32 F36:F39 W38:W39 W53 F56 F63 F77 W78:W81 F82:F85 W85">
      <formula1>T_SkLvl</formula1>
    </dataValidation>
    <dataValidation type="list" allowBlank="1" showErrorMessage="1" sqref="F22:F24 W20:W29 F26:F30 F33:F35 W34:W37 W41:W43 F41:F45 F47:F50 W45:W52 F52:F55 F58:F62 F65:F68 F70:F72 W55:W72 F74:F76 W74:W77 W83:W84">
      <formula1>T_SkLvl_SpecAll</formula1>
    </dataValidation>
    <dataValidation type="list" allowBlank="1" showErrorMessage="1" sqref="F78">
      <formula1>T_SkLvl_JoAT</formula1>
    </dataValidation>
    <dataValidation type="list" allowBlank="1" showErrorMessage="1" sqref="W19 F21 F25 F32 W33 F40 W40 W44 F46 F51 W54 F57 F64 F69 F73 W73 W82">
      <formula1>T_SkLvl_Spec0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0000"/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1.29"/>
    <col customWidth="1" min="2" max="2" width="3.57"/>
    <col customWidth="1" min="3" max="3" width="31.0"/>
    <col customWidth="1" min="4" max="4" width="9.29"/>
    <col customWidth="1" min="5" max="5" width="7.0"/>
    <col customWidth="1" min="6" max="7" width="13.86"/>
    <col customWidth="1" min="8" max="11" width="7.0"/>
    <col customWidth="1" min="12" max="12" width="9.29"/>
    <col customWidth="1" min="13" max="13" width="4.71"/>
    <col customWidth="1" min="14" max="14" width="9.29"/>
    <col customWidth="1" min="15" max="17" width="4.71"/>
    <col customWidth="1" min="18" max="19" width="7.0"/>
    <col customWidth="1" min="20" max="20" width="1.29"/>
  </cols>
  <sheetData>
    <row r="1" ht="36.0" customHeight="1">
      <c r="A1" s="1"/>
      <c r="B1" s="3" t="s">
        <v>200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"/>
      <c r="P1" s="3" t="s">
        <v>201</v>
      </c>
      <c r="Q1" s="4"/>
      <c r="R1" s="4"/>
      <c r="S1" s="4"/>
      <c r="T1" s="1"/>
    </row>
    <row r="2" ht="16.5" customHeight="1">
      <c r="A2" s="1"/>
      <c r="B2" s="6" t="s">
        <v>202</v>
      </c>
      <c r="D2" s="6" t="s">
        <v>203</v>
      </c>
      <c r="E2" s="6" t="s">
        <v>204</v>
      </c>
      <c r="H2" s="6" t="s">
        <v>205</v>
      </c>
      <c r="I2" s="6" t="s">
        <v>206</v>
      </c>
      <c r="J2" s="6" t="s">
        <v>207</v>
      </c>
      <c r="L2" s="6" t="s">
        <v>208</v>
      </c>
      <c r="O2" s="6"/>
      <c r="P2" s="62" t="s">
        <v>209</v>
      </c>
      <c r="R2" s="71" t="str">
        <f>UPP</f>
        <v>777777</v>
      </c>
      <c r="S2" s="9"/>
      <c r="T2" s="1"/>
    </row>
    <row r="3" ht="16.5" customHeight="1">
      <c r="A3" s="1"/>
      <c r="B3" s="130"/>
      <c r="C3" s="131"/>
      <c r="D3" s="132"/>
      <c r="E3" s="34"/>
      <c r="F3" s="35"/>
      <c r="G3" s="131"/>
      <c r="H3" s="133" t="str">
        <f>IF(E3="","--",IFERROR(VLOOKUP(E3,T_AtkSk,2,FALSE),"?"))</f>
        <v>--</v>
      </c>
      <c r="I3" s="33"/>
      <c r="J3" s="33"/>
      <c r="K3" s="33"/>
      <c r="L3" s="34"/>
      <c r="M3" s="35"/>
      <c r="N3" s="36"/>
      <c r="O3" s="61"/>
      <c r="P3" s="1"/>
      <c r="Q3" s="1"/>
      <c r="R3" s="1"/>
      <c r="S3" s="1"/>
      <c r="T3" s="1"/>
    </row>
    <row r="4" ht="16.5" customHeight="1">
      <c r="A4" s="1"/>
      <c r="B4" s="134"/>
      <c r="C4" s="105"/>
      <c r="D4" s="135"/>
      <c r="E4" s="121"/>
      <c r="F4" s="43"/>
      <c r="G4" s="105"/>
      <c r="H4" s="136" t="str">
        <f>IF(E4="","--",IFERROR(VLOOKUP(E4,T_AtkSk,2,FALSE),"?"))</f>
        <v>--</v>
      </c>
      <c r="I4" s="40"/>
      <c r="J4" s="41"/>
      <c r="K4" s="41"/>
      <c r="L4" s="121"/>
      <c r="M4" s="43"/>
      <c r="N4" s="44"/>
      <c r="O4" s="61"/>
      <c r="P4" s="1"/>
      <c r="Q4" s="62"/>
      <c r="R4" s="62" t="s">
        <v>210</v>
      </c>
      <c r="S4" s="137">
        <f>MAX(DexDM,IntDM)</f>
        <v>0</v>
      </c>
      <c r="T4" s="1"/>
    </row>
    <row r="5" ht="16.5" customHeight="1">
      <c r="A5" s="1"/>
      <c r="B5" s="138"/>
      <c r="C5" s="105"/>
      <c r="D5" s="135"/>
      <c r="E5" s="121"/>
      <c r="F5" s="43"/>
      <c r="G5" s="105"/>
      <c r="H5" s="136" t="str">
        <f>IF(E5="","--",IFERROR(VLOOKUP(E5,T_AtkSk,2,FALSE),"?"))</f>
        <v>--</v>
      </c>
      <c r="I5" s="40"/>
      <c r="J5" s="41"/>
      <c r="K5" s="41"/>
      <c r="L5" s="121"/>
      <c r="M5" s="43"/>
      <c r="N5" s="44"/>
      <c r="O5" s="61"/>
      <c r="P5" s="1"/>
      <c r="Q5" s="1"/>
      <c r="R5" s="1"/>
      <c r="S5" s="1"/>
      <c r="T5" s="1"/>
    </row>
    <row r="6" ht="16.5" customHeight="1">
      <c r="A6" s="1"/>
      <c r="B6" s="138"/>
      <c r="C6" s="105"/>
      <c r="D6" s="135"/>
      <c r="E6" s="121"/>
      <c r="F6" s="43"/>
      <c r="G6" s="105"/>
      <c r="H6" s="136" t="str">
        <f>IF(E6="","--",IFERROR(VLOOKUP(E6,T_AtkSk,2,FALSE),"?"))</f>
        <v>--</v>
      </c>
      <c r="I6" s="40"/>
      <c r="J6" s="41"/>
      <c r="K6" s="41"/>
      <c r="L6" s="121"/>
      <c r="M6" s="43"/>
      <c r="N6" s="44"/>
      <c r="O6" s="61"/>
      <c r="P6" s="1"/>
      <c r="Q6" s="62"/>
      <c r="R6" s="62" t="s">
        <v>211</v>
      </c>
      <c r="S6" s="137">
        <f>Sk_T</f>
        <v>-3</v>
      </c>
      <c r="T6" s="1"/>
    </row>
    <row r="7" ht="16.5" customHeight="1">
      <c r="A7" s="1"/>
      <c r="B7" s="138"/>
      <c r="C7" s="105"/>
      <c r="D7" s="135"/>
      <c r="E7" s="42"/>
      <c r="F7" s="43"/>
      <c r="G7" s="105"/>
      <c r="H7" s="136" t="str">
        <f>IF(E7="","--",IFERROR(VLOOKUP(E7,T_AtkSk,2,FALSE),"?"))</f>
        <v>--</v>
      </c>
      <c r="I7" s="40"/>
      <c r="J7" s="41"/>
      <c r="K7" s="41"/>
      <c r="L7" s="121"/>
      <c r="M7" s="43"/>
      <c r="N7" s="44"/>
      <c r="O7" s="61"/>
      <c r="P7" s="1"/>
      <c r="Q7" s="62"/>
      <c r="R7" s="62" t="s">
        <v>212</v>
      </c>
      <c r="S7" s="137">
        <f>Sk_Lead</f>
        <v>-3</v>
      </c>
      <c r="T7" s="1"/>
    </row>
    <row r="8" ht="16.5" customHeight="1">
      <c r="A8" s="1"/>
      <c r="B8" s="138"/>
      <c r="C8" s="105"/>
      <c r="D8" s="135"/>
      <c r="E8" s="42"/>
      <c r="F8" s="43"/>
      <c r="G8" s="105"/>
      <c r="H8" s="136" t="str">
        <f>IF(E8="","--",IFERROR(VLOOKUP(E8,T_AtkSk,2,FALSE),"?"))</f>
        <v>--</v>
      </c>
      <c r="I8" s="40"/>
      <c r="J8" s="41"/>
      <c r="K8" s="41"/>
      <c r="L8" s="121"/>
      <c r="M8" s="43"/>
      <c r="N8" s="44"/>
      <c r="O8" s="1"/>
      <c r="P8" s="1"/>
      <c r="Q8" s="1"/>
      <c r="R8" s="1"/>
      <c r="S8" s="1"/>
      <c r="T8" s="1"/>
    </row>
    <row r="9" ht="16.5" customHeight="1">
      <c r="A9" s="1"/>
      <c r="B9" s="138"/>
      <c r="C9" s="105"/>
      <c r="D9" s="135"/>
      <c r="E9" s="42"/>
      <c r="F9" s="43"/>
      <c r="G9" s="105"/>
      <c r="H9" s="136" t="str">
        <f>IF(E9="","--",IFERROR(VLOOKUP(E9,T_AtkSk,2,FALSE),"?"))</f>
        <v>--</v>
      </c>
      <c r="I9" s="40"/>
      <c r="J9" s="41"/>
      <c r="K9" s="41"/>
      <c r="L9" s="121"/>
      <c r="M9" s="43"/>
      <c r="N9" s="44"/>
      <c r="O9" s="61"/>
      <c r="P9" s="62" t="s">
        <v>213</v>
      </c>
      <c r="S9" s="139">
        <f>IF(MAX(DexDM,Sk_Ath_D)&lt;0,0,MAX(DexDM,Sk_Ath_D))</f>
        <v>0</v>
      </c>
      <c r="T9" s="1"/>
    </row>
    <row r="10" ht="16.5" customHeight="1">
      <c r="A10" s="1"/>
      <c r="B10" s="140"/>
      <c r="C10" s="141"/>
      <c r="D10" s="142"/>
      <c r="E10" s="49"/>
      <c r="F10" s="50"/>
      <c r="G10" s="141"/>
      <c r="H10" s="143" t="str">
        <f>IF(E10="","--",IFERROR(VLOOKUP(E10,T_AtkSk,2,FALSE),"?"))</f>
        <v>--</v>
      </c>
      <c r="I10" s="47"/>
      <c r="J10" s="48"/>
      <c r="K10" s="48"/>
      <c r="L10" s="144"/>
      <c r="M10" s="50"/>
      <c r="N10" s="51"/>
      <c r="O10" s="61"/>
      <c r="S10" s="52"/>
      <c r="T10" s="1"/>
    </row>
    <row r="11" ht="49.5" customHeight="1">
      <c r="A11" s="1"/>
      <c r="B11" s="3" t="s">
        <v>214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1"/>
      <c r="N11" s="3" t="s">
        <v>215</v>
      </c>
      <c r="O11" s="4"/>
      <c r="P11" s="4"/>
      <c r="Q11" s="4"/>
      <c r="R11" s="4"/>
      <c r="S11" s="4"/>
      <c r="T11" s="1"/>
    </row>
    <row r="12" ht="16.5" customHeight="1">
      <c r="A12" s="1"/>
      <c r="B12" s="6" t="s">
        <v>216</v>
      </c>
      <c r="C12" s="6" t="s">
        <v>217</v>
      </c>
      <c r="D12" s="6" t="s">
        <v>218</v>
      </c>
      <c r="E12" s="6" t="s">
        <v>219</v>
      </c>
      <c r="F12" s="6" t="s">
        <v>220</v>
      </c>
      <c r="G12" s="1"/>
      <c r="H12" s="1"/>
      <c r="I12" s="1"/>
      <c r="J12" s="1"/>
      <c r="K12" s="1"/>
      <c r="L12" s="1"/>
      <c r="M12" s="1"/>
      <c r="N12" s="6" t="s">
        <v>221</v>
      </c>
      <c r="O12" s="6" t="s">
        <v>222</v>
      </c>
      <c r="Q12" s="94" t="s">
        <v>223</v>
      </c>
      <c r="T12" s="1"/>
    </row>
    <row r="13" ht="16.5" customHeight="1">
      <c r="A13" s="1"/>
      <c r="B13" s="145" t="b">
        <v>1</v>
      </c>
      <c r="C13" s="130"/>
      <c r="D13" s="33"/>
      <c r="E13" s="33"/>
      <c r="F13" s="146"/>
      <c r="G13" s="62" t="s">
        <v>224</v>
      </c>
      <c r="K13" s="147">
        <v>0.0</v>
      </c>
      <c r="L13" s="1"/>
      <c r="M13" s="1"/>
      <c r="N13" s="148" t="str">
        <f>I61</f>
        <v>0</v>
      </c>
      <c r="O13" s="149" t="str">
        <f>Str+End+IFERROR(CharacteristicsSkills!F34+0,0)+IFERROR(CharacteristicsSkills!F35+0,0)&amp;""</f>
        <v>14</v>
      </c>
      <c r="P13" s="79"/>
      <c r="Q13" s="61"/>
      <c r="R13" s="150" t="str">
        <f>Profile!I3+VALUE(N13)&amp;""</f>
        <v>0</v>
      </c>
      <c r="S13" s="9"/>
      <c r="T13" s="1"/>
    </row>
    <row r="14" ht="16.5" customHeight="1">
      <c r="A14" s="1"/>
      <c r="B14" s="145" t="b">
        <v>1</v>
      </c>
      <c r="C14" s="151"/>
      <c r="D14" s="47"/>
      <c r="E14" s="47"/>
      <c r="F14" s="152"/>
      <c r="G14" s="62" t="s">
        <v>225</v>
      </c>
      <c r="K14" s="153">
        <f>IF(B13,IFERROR(D13+0,IFERROR(VALUE(LEFT(D13,3)),IFERROR(VALUE(RIGHT(LEFT(D13,3),2)),IFERROR(VALUE(LEFT(D13,2)),0)))),0)+IF(B14,IFERROR(D14+0,IFERROR(VALUE(LEFT(D14,3)),IFERROR(VALUE(RIGHT(LEFT(D14,3),2)),IFERROR(VALUE(LEFT(D14,2)),0)))),0)+K13</f>
        <v>0</v>
      </c>
      <c r="L14" s="1"/>
      <c r="M14" s="1"/>
      <c r="N14" s="154" t="str">
        <f>IFS(VALUE(N13)&lt;=VALUE(O13),"Okay",VALUE(N13)&lt;=(2*VALUE(O13)),"Encumbered",TRUE,"Carrying Too Much")</f>
        <v>Okay</v>
      </c>
      <c r="O14" s="155"/>
      <c r="P14" s="156"/>
      <c r="Q14" s="1"/>
      <c r="R14" s="1"/>
      <c r="S14" s="1"/>
      <c r="T14" s="1"/>
    </row>
    <row r="15" ht="49.5" customHeight="1">
      <c r="A15" s="1"/>
      <c r="B15" s="3" t="s">
        <v>226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1"/>
      <c r="N15" s="3" t="s">
        <v>227</v>
      </c>
      <c r="O15" s="4"/>
      <c r="P15" s="4"/>
      <c r="Q15" s="4"/>
      <c r="R15" s="4"/>
      <c r="S15" s="4"/>
      <c r="T15" s="1"/>
    </row>
    <row r="16" ht="16.5" customHeight="1">
      <c r="A16" s="1"/>
      <c r="B16" s="6" t="s">
        <v>228</v>
      </c>
      <c r="D16" s="6" t="s">
        <v>229</v>
      </c>
      <c r="J16" s="6" t="s">
        <v>230</v>
      </c>
      <c r="K16" s="6" t="s">
        <v>231</v>
      </c>
      <c r="M16" s="1"/>
      <c r="N16" s="157" t="s">
        <v>232</v>
      </c>
      <c r="O16" s="158"/>
      <c r="P16" s="159"/>
      <c r="Q16" s="160">
        <v>0.0</v>
      </c>
      <c r="R16" s="155"/>
      <c r="S16" s="156"/>
      <c r="T16" s="1"/>
    </row>
    <row r="17" ht="16.5" customHeight="1">
      <c r="A17" s="1"/>
      <c r="B17" s="130"/>
      <c r="C17" s="131"/>
      <c r="D17" s="34"/>
      <c r="E17" s="35"/>
      <c r="F17" s="35"/>
      <c r="G17" s="35"/>
      <c r="H17" s="35"/>
      <c r="I17" s="131"/>
      <c r="J17" s="33"/>
      <c r="K17" s="161"/>
      <c r="L17" s="36"/>
      <c r="M17" s="1"/>
      <c r="N17" s="62" t="s">
        <v>233</v>
      </c>
      <c r="R17" s="162">
        <v>0.0</v>
      </c>
      <c r="S17" s="163"/>
      <c r="T17" s="1"/>
    </row>
    <row r="18" ht="16.5" customHeight="1">
      <c r="A18" s="1"/>
      <c r="B18" s="134"/>
      <c r="C18" s="105"/>
      <c r="D18" s="121"/>
      <c r="E18" s="43"/>
      <c r="F18" s="43"/>
      <c r="G18" s="43"/>
      <c r="H18" s="43"/>
      <c r="I18" s="105"/>
      <c r="J18" s="40"/>
      <c r="K18" s="164"/>
      <c r="L18" s="44"/>
      <c r="M18" s="1"/>
      <c r="N18" s="62" t="s">
        <v>234</v>
      </c>
      <c r="R18" s="165">
        <v>0.0</v>
      </c>
      <c r="S18" s="9"/>
      <c r="T18" s="1"/>
    </row>
    <row r="19" ht="16.5" customHeight="1">
      <c r="A19" s="1"/>
      <c r="B19" s="134"/>
      <c r="C19" s="105"/>
      <c r="D19" s="121"/>
      <c r="E19" s="43"/>
      <c r="F19" s="43"/>
      <c r="G19" s="43"/>
      <c r="H19" s="43"/>
      <c r="I19" s="105"/>
      <c r="J19" s="40"/>
      <c r="K19" s="164"/>
      <c r="L19" s="44"/>
      <c r="M19" s="1"/>
      <c r="N19" s="62" t="s">
        <v>235</v>
      </c>
      <c r="R19" s="166">
        <v>0.0</v>
      </c>
      <c r="S19" s="9"/>
      <c r="T19" s="1"/>
    </row>
    <row r="20" ht="16.5" customHeight="1">
      <c r="A20" s="1"/>
      <c r="B20" s="138"/>
      <c r="C20" s="105"/>
      <c r="D20" s="42"/>
      <c r="E20" s="43"/>
      <c r="F20" s="43"/>
      <c r="G20" s="43"/>
      <c r="H20" s="43"/>
      <c r="I20" s="105"/>
      <c r="J20" s="41"/>
      <c r="K20" s="164"/>
      <c r="L20" s="44"/>
      <c r="M20" s="1"/>
      <c r="N20" s="1"/>
      <c r="O20" s="1"/>
      <c r="P20" s="1"/>
      <c r="Q20" s="62" t="s">
        <v>236</v>
      </c>
      <c r="R20" s="167">
        <f>Q38</f>
        <v>0</v>
      </c>
      <c r="S20" s="9"/>
      <c r="T20" s="1"/>
    </row>
    <row r="21" ht="16.5" customHeight="1">
      <c r="A21" s="1"/>
      <c r="B21" s="138"/>
      <c r="C21" s="105"/>
      <c r="D21" s="42"/>
      <c r="E21" s="43"/>
      <c r="F21" s="43"/>
      <c r="G21" s="43"/>
      <c r="H21" s="43"/>
      <c r="I21" s="105"/>
      <c r="J21" s="41"/>
      <c r="K21" s="164"/>
      <c r="L21" s="44"/>
      <c r="M21" s="1"/>
      <c r="N21" s="80" t="s">
        <v>237</v>
      </c>
      <c r="T21" s="1"/>
    </row>
    <row r="22" ht="16.5" customHeight="1">
      <c r="A22" s="1"/>
      <c r="B22" s="138"/>
      <c r="C22" s="105"/>
      <c r="D22" s="42"/>
      <c r="E22" s="43"/>
      <c r="F22" s="43"/>
      <c r="G22" s="43"/>
      <c r="H22" s="43"/>
      <c r="I22" s="105"/>
      <c r="J22" s="41"/>
      <c r="K22" s="164"/>
      <c r="L22" s="44"/>
      <c r="M22" s="1"/>
      <c r="N22" s="4"/>
      <c r="O22" s="4"/>
      <c r="P22" s="4"/>
      <c r="Q22" s="4"/>
      <c r="R22" s="4"/>
      <c r="S22" s="4"/>
      <c r="T22" s="1"/>
    </row>
    <row r="23" ht="16.5" customHeight="1">
      <c r="A23" s="1"/>
      <c r="B23" s="138"/>
      <c r="C23" s="105"/>
      <c r="D23" s="42"/>
      <c r="E23" s="43"/>
      <c r="F23" s="43"/>
      <c r="G23" s="43"/>
      <c r="H23" s="43"/>
      <c r="I23" s="105"/>
      <c r="J23" s="41"/>
      <c r="K23" s="164"/>
      <c r="L23" s="44"/>
      <c r="M23" s="1"/>
      <c r="N23" s="6" t="s">
        <v>75</v>
      </c>
      <c r="O23" s="6" t="s">
        <v>238</v>
      </c>
      <c r="R23" s="6" t="s">
        <v>239</v>
      </c>
      <c r="T23" s="1"/>
    </row>
    <row r="24" ht="16.5" customHeight="1">
      <c r="A24" s="1"/>
      <c r="B24" s="140"/>
      <c r="C24" s="141"/>
      <c r="D24" s="49"/>
      <c r="E24" s="50"/>
      <c r="F24" s="50"/>
      <c r="G24" s="50"/>
      <c r="H24" s="50"/>
      <c r="I24" s="141"/>
      <c r="J24" s="48"/>
      <c r="K24" s="168"/>
      <c r="L24" s="51"/>
      <c r="M24" s="1"/>
      <c r="N24" s="137">
        <f>Soc</f>
        <v>7</v>
      </c>
      <c r="O24" s="169" t="str">
        <f>IFERROR(VLOOKUP(IF(N24&lt;2,2,N24),T_StdOfLiv,2,TRUE),"?")</f>
        <v>Good</v>
      </c>
      <c r="P24" s="15"/>
      <c r="Q24" s="9"/>
      <c r="R24" s="8" t="s">
        <v>240</v>
      </c>
      <c r="S24" s="9"/>
      <c r="T24" s="1"/>
    </row>
    <row r="25" ht="16.5" customHeight="1">
      <c r="A25" s="1"/>
      <c r="B25" s="2" t="s">
        <v>241</v>
      </c>
      <c r="M25" s="1"/>
      <c r="N25" s="62" t="s">
        <v>242</v>
      </c>
      <c r="R25" s="167">
        <f>VLOOKUP(R24,T_StdOfLiv_CM,2,FALSE)</f>
        <v>1500</v>
      </c>
      <c r="S25" s="9"/>
      <c r="T25" s="1"/>
    </row>
    <row r="26" ht="16.5" customHeight="1">
      <c r="A26" s="1"/>
      <c r="M26" s="1"/>
      <c r="N26" s="2" t="s">
        <v>243</v>
      </c>
      <c r="T26" s="1"/>
    </row>
    <row r="27" ht="16.5" customHeight="1">
      <c r="A27" s="1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1"/>
      <c r="T27" s="1"/>
    </row>
    <row r="28" ht="16.5" customHeight="1">
      <c r="A28" s="1"/>
      <c r="B28" s="6" t="s">
        <v>244</v>
      </c>
      <c r="C28" s="6" t="s">
        <v>245</v>
      </c>
      <c r="D28" s="6" t="s">
        <v>54</v>
      </c>
      <c r="I28" s="6" t="s">
        <v>230</v>
      </c>
      <c r="J28" s="6" t="s">
        <v>246</v>
      </c>
      <c r="K28" s="6" t="s">
        <v>231</v>
      </c>
      <c r="M28" s="1"/>
      <c r="N28" s="4"/>
      <c r="O28" s="4"/>
      <c r="P28" s="4"/>
      <c r="Q28" s="4"/>
      <c r="R28" s="4"/>
      <c r="S28" s="4"/>
      <c r="T28" s="1"/>
    </row>
    <row r="29" ht="16.5" customHeight="1">
      <c r="A29" s="1"/>
      <c r="B29" s="31">
        <v>0.0</v>
      </c>
      <c r="C29" s="32"/>
      <c r="D29" s="34"/>
      <c r="E29" s="35"/>
      <c r="F29" s="35"/>
      <c r="G29" s="35"/>
      <c r="H29" s="131"/>
      <c r="I29" s="33"/>
      <c r="J29" s="170" t="s">
        <v>247</v>
      </c>
      <c r="K29" s="161">
        <v>0.0</v>
      </c>
      <c r="L29" s="36"/>
      <c r="M29" s="1"/>
      <c r="N29" s="80" t="s">
        <v>248</v>
      </c>
      <c r="T29" s="1"/>
    </row>
    <row r="30" ht="16.5" customHeight="1">
      <c r="A30" s="1"/>
      <c r="B30" s="37">
        <v>0.0</v>
      </c>
      <c r="C30" s="39"/>
      <c r="D30" s="42"/>
      <c r="E30" s="43"/>
      <c r="F30" s="43"/>
      <c r="G30" s="43"/>
      <c r="H30" s="105"/>
      <c r="I30" s="41"/>
      <c r="J30" s="171"/>
      <c r="K30" s="164"/>
      <c r="L30" s="44"/>
      <c r="M30" s="1"/>
      <c r="N30" s="4"/>
      <c r="O30" s="4"/>
      <c r="P30" s="4"/>
      <c r="Q30" s="4"/>
      <c r="R30" s="4"/>
      <c r="S30" s="4"/>
      <c r="T30" s="1"/>
    </row>
    <row r="31" ht="16.5" customHeight="1">
      <c r="A31" s="1"/>
      <c r="B31" s="37">
        <v>0.0</v>
      </c>
      <c r="C31" s="39"/>
      <c r="D31" s="42"/>
      <c r="E31" s="43"/>
      <c r="F31" s="43"/>
      <c r="G31" s="43"/>
      <c r="H31" s="105"/>
      <c r="I31" s="41"/>
      <c r="J31" s="171"/>
      <c r="K31" s="164"/>
      <c r="L31" s="44"/>
      <c r="M31" s="1"/>
      <c r="N31" s="6" t="s">
        <v>249</v>
      </c>
      <c r="Q31" s="6" t="s">
        <v>250</v>
      </c>
      <c r="T31" s="1"/>
    </row>
    <row r="32" ht="16.5" customHeight="1">
      <c r="A32" s="1"/>
      <c r="B32" s="37">
        <v>0.0</v>
      </c>
      <c r="C32" s="39"/>
      <c r="D32" s="121"/>
      <c r="E32" s="43"/>
      <c r="F32" s="43"/>
      <c r="G32" s="43"/>
      <c r="H32" s="105"/>
      <c r="I32" s="40"/>
      <c r="J32" s="171"/>
      <c r="K32" s="164"/>
      <c r="L32" s="44"/>
      <c r="M32" s="1"/>
      <c r="N32" s="172">
        <v>0.0</v>
      </c>
      <c r="O32" s="35"/>
      <c r="P32" s="131"/>
      <c r="Q32" s="173">
        <v>0.0</v>
      </c>
      <c r="R32" s="35"/>
      <c r="S32" s="36"/>
      <c r="T32" s="1"/>
    </row>
    <row r="33" ht="16.5" customHeight="1">
      <c r="A33" s="1"/>
      <c r="B33" s="37">
        <v>0.0</v>
      </c>
      <c r="C33" s="39"/>
      <c r="D33" s="121"/>
      <c r="E33" s="43"/>
      <c r="F33" s="43"/>
      <c r="G33" s="43"/>
      <c r="H33" s="105"/>
      <c r="I33" s="40"/>
      <c r="J33" s="171"/>
      <c r="K33" s="164"/>
      <c r="L33" s="44"/>
      <c r="M33" s="1"/>
      <c r="N33" s="174"/>
      <c r="O33" s="43"/>
      <c r="P33" s="105"/>
      <c r="Q33" s="175"/>
      <c r="R33" s="43"/>
      <c r="S33" s="44"/>
      <c r="T33" s="1"/>
    </row>
    <row r="34" ht="16.5" customHeight="1">
      <c r="A34" s="1"/>
      <c r="B34" s="37">
        <v>0.0</v>
      </c>
      <c r="C34" s="39"/>
      <c r="D34" s="121"/>
      <c r="E34" s="43"/>
      <c r="F34" s="43"/>
      <c r="G34" s="43"/>
      <c r="H34" s="105"/>
      <c r="I34" s="40"/>
      <c r="J34" s="171"/>
      <c r="K34" s="164"/>
      <c r="L34" s="44"/>
      <c r="M34" s="1"/>
      <c r="N34" s="174"/>
      <c r="O34" s="43"/>
      <c r="P34" s="105"/>
      <c r="Q34" s="175"/>
      <c r="R34" s="43"/>
      <c r="S34" s="44"/>
      <c r="T34" s="1"/>
    </row>
    <row r="35" ht="16.5" customHeight="1">
      <c r="A35" s="1"/>
      <c r="B35" s="37">
        <v>0.0</v>
      </c>
      <c r="C35" s="39"/>
      <c r="D35" s="121"/>
      <c r="E35" s="43"/>
      <c r="F35" s="43"/>
      <c r="G35" s="43"/>
      <c r="H35" s="105"/>
      <c r="I35" s="40"/>
      <c r="J35" s="171"/>
      <c r="K35" s="164"/>
      <c r="L35" s="44"/>
      <c r="M35" s="1"/>
      <c r="N35" s="174"/>
      <c r="O35" s="43"/>
      <c r="P35" s="105"/>
      <c r="Q35" s="175"/>
      <c r="R35" s="43"/>
      <c r="S35" s="44"/>
      <c r="T35" s="1"/>
    </row>
    <row r="36" ht="16.5" customHeight="1">
      <c r="A36" s="1"/>
      <c r="B36" s="37">
        <v>0.0</v>
      </c>
      <c r="C36" s="39"/>
      <c r="D36" s="121"/>
      <c r="E36" s="43"/>
      <c r="F36" s="43"/>
      <c r="G36" s="43"/>
      <c r="H36" s="105"/>
      <c r="I36" s="40"/>
      <c r="J36" s="171"/>
      <c r="K36" s="164"/>
      <c r="L36" s="44"/>
      <c r="M36" s="1"/>
      <c r="N36" s="174"/>
      <c r="O36" s="43"/>
      <c r="P36" s="105"/>
      <c r="Q36" s="175"/>
      <c r="R36" s="43"/>
      <c r="S36" s="44"/>
      <c r="T36" s="1"/>
    </row>
    <row r="37" ht="16.5" customHeight="1">
      <c r="A37" s="1"/>
      <c r="B37" s="37">
        <v>0.0</v>
      </c>
      <c r="C37" s="39"/>
      <c r="D37" s="121"/>
      <c r="E37" s="43"/>
      <c r="F37" s="43"/>
      <c r="G37" s="43"/>
      <c r="H37" s="105"/>
      <c r="I37" s="40"/>
      <c r="J37" s="171"/>
      <c r="K37" s="164"/>
      <c r="L37" s="44"/>
      <c r="M37" s="1"/>
      <c r="N37" s="176"/>
      <c r="O37" s="50"/>
      <c r="P37" s="141"/>
      <c r="Q37" s="177"/>
      <c r="R37" s="69"/>
      <c r="S37" s="178"/>
      <c r="T37" s="1"/>
    </row>
    <row r="38" ht="16.5" customHeight="1">
      <c r="A38" s="1"/>
      <c r="B38" s="37">
        <v>0.0</v>
      </c>
      <c r="C38" s="39"/>
      <c r="D38" s="121"/>
      <c r="E38" s="43"/>
      <c r="F38" s="43"/>
      <c r="G38" s="43"/>
      <c r="H38" s="105"/>
      <c r="I38" s="40"/>
      <c r="J38" s="171"/>
      <c r="K38" s="164"/>
      <c r="L38" s="44"/>
      <c r="M38" s="1"/>
      <c r="N38" s="1"/>
      <c r="O38" s="1"/>
      <c r="P38" s="62" t="s">
        <v>251</v>
      </c>
      <c r="Q38" s="179">
        <f>SUM(Q32:S37)</f>
        <v>0</v>
      </c>
      <c r="R38" s="155"/>
      <c r="S38" s="156"/>
      <c r="T38" s="1"/>
    </row>
    <row r="39" ht="16.5" customHeight="1">
      <c r="A39" s="1"/>
      <c r="B39" s="37">
        <v>0.0</v>
      </c>
      <c r="C39" s="39"/>
      <c r="D39" s="121"/>
      <c r="E39" s="43"/>
      <c r="F39" s="43"/>
      <c r="G39" s="43"/>
      <c r="H39" s="105"/>
      <c r="I39" s="40"/>
      <c r="J39" s="171"/>
      <c r="K39" s="164"/>
      <c r="L39" s="44"/>
      <c r="M39" s="1"/>
      <c r="N39" s="80" t="s">
        <v>252</v>
      </c>
      <c r="T39" s="1"/>
    </row>
    <row r="40" ht="16.5" customHeight="1">
      <c r="A40" s="1"/>
      <c r="B40" s="37">
        <v>0.0</v>
      </c>
      <c r="C40" s="39"/>
      <c r="D40" s="121"/>
      <c r="E40" s="43"/>
      <c r="F40" s="43"/>
      <c r="G40" s="43"/>
      <c r="H40" s="105"/>
      <c r="I40" s="40"/>
      <c r="J40" s="171"/>
      <c r="K40" s="164"/>
      <c r="L40" s="44"/>
      <c r="M40" s="1"/>
      <c r="N40" s="4"/>
      <c r="O40" s="4"/>
      <c r="P40" s="4"/>
      <c r="Q40" s="4"/>
      <c r="R40" s="4"/>
      <c r="S40" s="4"/>
      <c r="T40" s="1"/>
    </row>
    <row r="41" ht="16.5" customHeight="1">
      <c r="A41" s="1"/>
      <c r="B41" s="37">
        <v>0.0</v>
      </c>
      <c r="C41" s="39"/>
      <c r="D41" s="121"/>
      <c r="E41" s="43"/>
      <c r="F41" s="43"/>
      <c r="G41" s="43"/>
      <c r="H41" s="105"/>
      <c r="I41" s="40"/>
      <c r="J41" s="171"/>
      <c r="K41" s="164"/>
      <c r="L41" s="44"/>
      <c r="M41" s="1"/>
      <c r="N41" s="6" t="s">
        <v>253</v>
      </c>
      <c r="R41" s="6" t="s">
        <v>254</v>
      </c>
      <c r="T41" s="1"/>
    </row>
    <row r="42" ht="16.5" customHeight="1">
      <c r="A42" s="1"/>
      <c r="B42" s="37">
        <v>0.0</v>
      </c>
      <c r="C42" s="39"/>
      <c r="D42" s="121"/>
      <c r="E42" s="43"/>
      <c r="F42" s="43"/>
      <c r="G42" s="43"/>
      <c r="H42" s="105"/>
      <c r="I42" s="40"/>
      <c r="J42" s="171"/>
      <c r="K42" s="164"/>
      <c r="L42" s="44"/>
      <c r="M42" s="1"/>
      <c r="N42" s="180"/>
      <c r="O42" s="35"/>
      <c r="P42" s="35"/>
      <c r="Q42" s="131"/>
      <c r="R42" s="161">
        <v>0.0</v>
      </c>
      <c r="S42" s="36"/>
      <c r="T42" s="1"/>
    </row>
    <row r="43" ht="16.5" customHeight="1">
      <c r="A43" s="1"/>
      <c r="B43" s="37">
        <v>0.0</v>
      </c>
      <c r="C43" s="39"/>
      <c r="D43" s="121"/>
      <c r="E43" s="43"/>
      <c r="F43" s="43"/>
      <c r="G43" s="43"/>
      <c r="H43" s="105"/>
      <c r="I43" s="40"/>
      <c r="J43" s="171"/>
      <c r="K43" s="164"/>
      <c r="L43" s="44"/>
      <c r="M43" s="1"/>
      <c r="N43" s="138"/>
      <c r="O43" s="43"/>
      <c r="P43" s="43"/>
      <c r="Q43" s="105"/>
      <c r="R43" s="164"/>
      <c r="S43" s="44"/>
      <c r="T43" s="1"/>
    </row>
    <row r="44" ht="16.5" customHeight="1">
      <c r="A44" s="1"/>
      <c r="B44" s="37">
        <v>0.0</v>
      </c>
      <c r="C44" s="39"/>
      <c r="D44" s="121"/>
      <c r="E44" s="43"/>
      <c r="F44" s="43"/>
      <c r="G44" s="43"/>
      <c r="H44" s="105"/>
      <c r="I44" s="40"/>
      <c r="J44" s="171"/>
      <c r="K44" s="164"/>
      <c r="L44" s="44"/>
      <c r="M44" s="1"/>
      <c r="N44" s="138"/>
      <c r="O44" s="43"/>
      <c r="P44" s="43"/>
      <c r="Q44" s="105"/>
      <c r="R44" s="164"/>
      <c r="S44" s="44"/>
      <c r="T44" s="1"/>
    </row>
    <row r="45" ht="16.5" customHeight="1">
      <c r="A45" s="1"/>
      <c r="B45" s="37">
        <v>0.0</v>
      </c>
      <c r="C45" s="39"/>
      <c r="D45" s="121"/>
      <c r="E45" s="43"/>
      <c r="F45" s="43"/>
      <c r="G45" s="43"/>
      <c r="H45" s="105"/>
      <c r="I45" s="40"/>
      <c r="J45" s="171"/>
      <c r="K45" s="164"/>
      <c r="L45" s="44"/>
      <c r="M45" s="1"/>
      <c r="N45" s="138"/>
      <c r="O45" s="43"/>
      <c r="P45" s="43"/>
      <c r="Q45" s="105"/>
      <c r="R45" s="164"/>
      <c r="S45" s="44"/>
      <c r="T45" s="1"/>
    </row>
    <row r="46" ht="16.5" customHeight="1">
      <c r="A46" s="1"/>
      <c r="B46" s="37">
        <v>0.0</v>
      </c>
      <c r="C46" s="39"/>
      <c r="D46" s="121"/>
      <c r="E46" s="43"/>
      <c r="F46" s="43"/>
      <c r="G46" s="43"/>
      <c r="H46" s="105"/>
      <c r="I46" s="40"/>
      <c r="J46" s="171"/>
      <c r="K46" s="164"/>
      <c r="L46" s="44"/>
      <c r="M46" s="1"/>
      <c r="N46" s="138"/>
      <c r="O46" s="43"/>
      <c r="P46" s="43"/>
      <c r="Q46" s="105"/>
      <c r="R46" s="164"/>
      <c r="S46" s="44"/>
      <c r="T46" s="1"/>
    </row>
    <row r="47" ht="16.5" customHeight="1">
      <c r="A47" s="1"/>
      <c r="B47" s="37">
        <v>0.0</v>
      </c>
      <c r="C47" s="39"/>
      <c r="D47" s="121"/>
      <c r="E47" s="43"/>
      <c r="F47" s="43"/>
      <c r="G47" s="43"/>
      <c r="H47" s="105"/>
      <c r="I47" s="40"/>
      <c r="J47" s="171"/>
      <c r="K47" s="164"/>
      <c r="L47" s="44"/>
      <c r="M47" s="1"/>
      <c r="N47" s="140"/>
      <c r="O47" s="50"/>
      <c r="P47" s="50"/>
      <c r="Q47" s="141"/>
      <c r="R47" s="181"/>
      <c r="S47" s="178"/>
      <c r="T47" s="1"/>
    </row>
    <row r="48" ht="16.5" customHeight="1">
      <c r="A48" s="1"/>
      <c r="B48" s="37">
        <v>0.0</v>
      </c>
      <c r="C48" s="39"/>
      <c r="D48" s="121"/>
      <c r="E48" s="43"/>
      <c r="F48" s="43"/>
      <c r="G48" s="43"/>
      <c r="H48" s="105"/>
      <c r="I48" s="40"/>
      <c r="J48" s="171"/>
      <c r="K48" s="164"/>
      <c r="L48" s="44"/>
      <c r="M48" s="1"/>
      <c r="N48" s="62" t="s">
        <v>255</v>
      </c>
      <c r="R48" s="182">
        <f>SUM(R42:S47)</f>
        <v>0</v>
      </c>
      <c r="S48" s="156"/>
      <c r="T48" s="1"/>
    </row>
    <row r="49" ht="16.5" customHeight="1">
      <c r="A49" s="1"/>
      <c r="B49" s="37">
        <v>0.0</v>
      </c>
      <c r="C49" s="39"/>
      <c r="D49" s="121"/>
      <c r="E49" s="43"/>
      <c r="F49" s="43"/>
      <c r="G49" s="43"/>
      <c r="H49" s="105"/>
      <c r="I49" s="40"/>
      <c r="J49" s="171"/>
      <c r="K49" s="164"/>
      <c r="L49" s="44"/>
      <c r="M49" s="1"/>
      <c r="N49" s="80" t="s">
        <v>256</v>
      </c>
      <c r="T49" s="1"/>
    </row>
    <row r="50" ht="16.5" customHeight="1">
      <c r="A50" s="1"/>
      <c r="B50" s="37">
        <v>0.0</v>
      </c>
      <c r="C50" s="39"/>
      <c r="D50" s="121"/>
      <c r="E50" s="43"/>
      <c r="F50" s="43"/>
      <c r="G50" s="43"/>
      <c r="H50" s="105"/>
      <c r="I50" s="40"/>
      <c r="J50" s="171"/>
      <c r="K50" s="164"/>
      <c r="L50" s="44"/>
      <c r="M50" s="1"/>
      <c r="N50" s="4"/>
      <c r="O50" s="4"/>
      <c r="P50" s="4"/>
      <c r="Q50" s="4"/>
      <c r="R50" s="4"/>
      <c r="S50" s="4"/>
      <c r="T50" s="1"/>
    </row>
    <row r="51" ht="16.5" customHeight="1">
      <c r="A51" s="1"/>
      <c r="B51" s="37">
        <v>0.0</v>
      </c>
      <c r="C51" s="39"/>
      <c r="D51" s="121"/>
      <c r="E51" s="43"/>
      <c r="F51" s="43"/>
      <c r="G51" s="43"/>
      <c r="H51" s="105"/>
      <c r="I51" s="40"/>
      <c r="J51" s="171"/>
      <c r="K51" s="164"/>
      <c r="L51" s="44"/>
      <c r="M51" s="1"/>
      <c r="N51" s="6" t="s">
        <v>257</v>
      </c>
      <c r="R51" s="6" t="s">
        <v>254</v>
      </c>
      <c r="T51" s="1"/>
    </row>
    <row r="52" ht="16.5" customHeight="1">
      <c r="A52" s="1"/>
      <c r="B52" s="37">
        <v>0.0</v>
      </c>
      <c r="C52" s="39"/>
      <c r="D52" s="121"/>
      <c r="E52" s="43"/>
      <c r="F52" s="43"/>
      <c r="G52" s="43"/>
      <c r="H52" s="105"/>
      <c r="I52" s="40"/>
      <c r="J52" s="171"/>
      <c r="K52" s="164"/>
      <c r="L52" s="44"/>
      <c r="M52" s="1"/>
      <c r="N52" s="130"/>
      <c r="O52" s="35"/>
      <c r="P52" s="35"/>
      <c r="Q52" s="131"/>
      <c r="R52" s="161">
        <v>0.0</v>
      </c>
      <c r="S52" s="36"/>
      <c r="T52" s="1"/>
    </row>
    <row r="53" ht="16.5" customHeight="1">
      <c r="A53" s="1"/>
      <c r="B53" s="37">
        <v>0.0</v>
      </c>
      <c r="C53" s="39"/>
      <c r="D53" s="121"/>
      <c r="E53" s="43"/>
      <c r="F53" s="43"/>
      <c r="G53" s="43"/>
      <c r="H53" s="105"/>
      <c r="I53" s="40"/>
      <c r="J53" s="171"/>
      <c r="K53" s="164"/>
      <c r="L53" s="44"/>
      <c r="M53" s="1"/>
      <c r="N53" s="134"/>
      <c r="O53" s="43"/>
      <c r="P53" s="43"/>
      <c r="Q53" s="105"/>
      <c r="R53" s="164"/>
      <c r="S53" s="44"/>
      <c r="T53" s="1"/>
    </row>
    <row r="54" ht="16.5" customHeight="1">
      <c r="A54" s="1"/>
      <c r="B54" s="37">
        <v>0.0</v>
      </c>
      <c r="C54" s="39"/>
      <c r="D54" s="121"/>
      <c r="E54" s="43"/>
      <c r="F54" s="43"/>
      <c r="G54" s="43"/>
      <c r="H54" s="105"/>
      <c r="I54" s="40"/>
      <c r="J54" s="171"/>
      <c r="K54" s="164"/>
      <c r="L54" s="44"/>
      <c r="M54" s="1"/>
      <c r="N54" s="134"/>
      <c r="O54" s="43"/>
      <c r="P54" s="43"/>
      <c r="Q54" s="105"/>
      <c r="R54" s="164"/>
      <c r="S54" s="44"/>
      <c r="T54" s="1"/>
    </row>
    <row r="55" ht="16.5" customHeight="1">
      <c r="A55" s="1"/>
      <c r="B55" s="37">
        <v>0.0</v>
      </c>
      <c r="C55" s="39"/>
      <c r="D55" s="121"/>
      <c r="E55" s="43"/>
      <c r="F55" s="43"/>
      <c r="G55" s="43"/>
      <c r="H55" s="105"/>
      <c r="I55" s="40"/>
      <c r="J55" s="171"/>
      <c r="K55" s="164"/>
      <c r="L55" s="44"/>
      <c r="M55" s="1"/>
      <c r="N55" s="134"/>
      <c r="O55" s="43"/>
      <c r="P55" s="43"/>
      <c r="Q55" s="105"/>
      <c r="R55" s="164"/>
      <c r="S55" s="44"/>
      <c r="T55" s="1"/>
    </row>
    <row r="56" ht="16.5" customHeight="1">
      <c r="A56" s="1"/>
      <c r="B56" s="37">
        <v>0.0</v>
      </c>
      <c r="C56" s="39"/>
      <c r="D56" s="121"/>
      <c r="E56" s="43"/>
      <c r="F56" s="43"/>
      <c r="G56" s="43"/>
      <c r="H56" s="105"/>
      <c r="I56" s="40"/>
      <c r="J56" s="171"/>
      <c r="K56" s="164"/>
      <c r="L56" s="44"/>
      <c r="M56" s="1"/>
      <c r="N56" s="134"/>
      <c r="O56" s="43"/>
      <c r="P56" s="43"/>
      <c r="Q56" s="105"/>
      <c r="R56" s="164"/>
      <c r="S56" s="44"/>
      <c r="T56" s="1"/>
    </row>
    <row r="57" ht="16.5" customHeight="1">
      <c r="A57" s="1"/>
      <c r="B57" s="37">
        <v>0.0</v>
      </c>
      <c r="C57" s="39"/>
      <c r="D57" s="121"/>
      <c r="E57" s="43"/>
      <c r="F57" s="43"/>
      <c r="G57" s="43"/>
      <c r="H57" s="105"/>
      <c r="I57" s="40"/>
      <c r="J57" s="171"/>
      <c r="K57" s="164"/>
      <c r="L57" s="44"/>
      <c r="M57" s="1"/>
      <c r="N57" s="151"/>
      <c r="O57" s="50"/>
      <c r="P57" s="50"/>
      <c r="Q57" s="141"/>
      <c r="R57" s="181"/>
      <c r="S57" s="178"/>
      <c r="T57" s="1"/>
    </row>
    <row r="58" ht="16.5" customHeight="1">
      <c r="A58" s="1"/>
      <c r="B58" s="37">
        <v>0.0</v>
      </c>
      <c r="C58" s="39"/>
      <c r="D58" s="121"/>
      <c r="E58" s="43"/>
      <c r="F58" s="43"/>
      <c r="G58" s="43"/>
      <c r="H58" s="105"/>
      <c r="I58" s="40"/>
      <c r="J58" s="171"/>
      <c r="K58" s="164"/>
      <c r="L58" s="44"/>
      <c r="M58" s="1"/>
      <c r="N58" s="62" t="s">
        <v>258</v>
      </c>
      <c r="R58" s="182">
        <f>SUM(R52:S57)</f>
        <v>0</v>
      </c>
      <c r="S58" s="156"/>
      <c r="T58" s="1"/>
    </row>
    <row r="59" ht="16.5" customHeight="1">
      <c r="A59" s="1"/>
      <c r="B59" s="37">
        <v>0.0</v>
      </c>
      <c r="C59" s="39"/>
      <c r="D59" s="121"/>
      <c r="E59" s="43"/>
      <c r="F59" s="43"/>
      <c r="G59" s="43"/>
      <c r="H59" s="105"/>
      <c r="I59" s="40"/>
      <c r="J59" s="171"/>
      <c r="K59" s="164"/>
      <c r="L59" s="44"/>
      <c r="M59" s="1"/>
      <c r="N59" s="1"/>
      <c r="O59" s="1"/>
      <c r="P59" s="1"/>
      <c r="Q59" s="1"/>
      <c r="R59" s="1"/>
      <c r="S59" s="1"/>
      <c r="T59" s="1"/>
    </row>
    <row r="60" ht="16.5" customHeight="1">
      <c r="A60" s="1"/>
      <c r="B60" s="45">
        <v>0.0</v>
      </c>
      <c r="C60" s="183"/>
      <c r="D60" s="144"/>
      <c r="E60" s="50"/>
      <c r="F60" s="50"/>
      <c r="G60" s="50"/>
      <c r="H60" s="141"/>
      <c r="I60" s="47"/>
      <c r="J60" s="184"/>
      <c r="K60" s="168"/>
      <c r="L60" s="51"/>
      <c r="M60" s="1"/>
      <c r="N60" s="1"/>
      <c r="O60" s="1"/>
      <c r="P60" s="1"/>
      <c r="Q60" s="1"/>
      <c r="R60" s="1"/>
      <c r="S60" s="1"/>
      <c r="T60" s="1"/>
    </row>
    <row r="61" ht="16.5" customHeight="1">
      <c r="A61" s="1"/>
      <c r="B61" s="95">
        <f>SUM(B29:B60)</f>
        <v>0</v>
      </c>
      <c r="C61" s="1"/>
      <c r="D61" s="1"/>
      <c r="E61" s="1"/>
      <c r="F61" s="1"/>
      <c r="G61" s="1"/>
      <c r="H61" s="62" t="s">
        <v>34</v>
      </c>
      <c r="I61" s="185" t="str">
        <f>SUMPRODUCT(B29:B60,J29:J60)&amp;""</f>
        <v>0</v>
      </c>
      <c r="J61" s="9"/>
      <c r="K61" s="186">
        <f>SUMPRODUCT(B29:B60,K29:K60)</f>
        <v>0</v>
      </c>
      <c r="L61" s="9"/>
      <c r="M61" s="1"/>
      <c r="N61" s="1"/>
      <c r="O61" s="1"/>
      <c r="P61" s="1"/>
      <c r="Q61" s="1"/>
      <c r="R61" s="1"/>
      <c r="S61" s="1"/>
      <c r="T61" s="1"/>
    </row>
    <row r="62" ht="6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</sheetData>
  <mergeCells count="208">
    <mergeCell ref="B1:N1"/>
    <mergeCell ref="P1:S1"/>
    <mergeCell ref="E2:G2"/>
    <mergeCell ref="J2:K2"/>
    <mergeCell ref="L2:N2"/>
    <mergeCell ref="P2:Q2"/>
    <mergeCell ref="R2:S2"/>
    <mergeCell ref="B2:C2"/>
    <mergeCell ref="B3:C3"/>
    <mergeCell ref="E3:G3"/>
    <mergeCell ref="L3:N3"/>
    <mergeCell ref="B4:C4"/>
    <mergeCell ref="L4:N4"/>
    <mergeCell ref="B5:C5"/>
    <mergeCell ref="B8:C8"/>
    <mergeCell ref="B9:C9"/>
    <mergeCell ref="B10:C10"/>
    <mergeCell ref="E4:G4"/>
    <mergeCell ref="E5:G5"/>
    <mergeCell ref="B6:C6"/>
    <mergeCell ref="E6:G6"/>
    <mergeCell ref="B7:C7"/>
    <mergeCell ref="E7:G7"/>
    <mergeCell ref="E8:G8"/>
    <mergeCell ref="L5:N5"/>
    <mergeCell ref="L6:N6"/>
    <mergeCell ref="L7:N7"/>
    <mergeCell ref="L8:N8"/>
    <mergeCell ref="L9:N9"/>
    <mergeCell ref="S9:S10"/>
    <mergeCell ref="L10:N10"/>
    <mergeCell ref="D16:I16"/>
    <mergeCell ref="K16:L16"/>
    <mergeCell ref="N16:P16"/>
    <mergeCell ref="Q16:S16"/>
    <mergeCell ref="P9:R10"/>
    <mergeCell ref="N11:S11"/>
    <mergeCell ref="O12:P12"/>
    <mergeCell ref="Q12:S12"/>
    <mergeCell ref="O13:P13"/>
    <mergeCell ref="R13:S13"/>
    <mergeCell ref="N14:P14"/>
    <mergeCell ref="K33:L33"/>
    <mergeCell ref="K34:L34"/>
    <mergeCell ref="D30:H30"/>
    <mergeCell ref="D31:H31"/>
    <mergeCell ref="K31:L31"/>
    <mergeCell ref="D32:H32"/>
    <mergeCell ref="K32:L32"/>
    <mergeCell ref="D33:H33"/>
    <mergeCell ref="D34:H34"/>
    <mergeCell ref="E9:G9"/>
    <mergeCell ref="E10:G10"/>
    <mergeCell ref="B11:L11"/>
    <mergeCell ref="G13:J13"/>
    <mergeCell ref="G14:J14"/>
    <mergeCell ref="B15:L15"/>
    <mergeCell ref="B16:C16"/>
    <mergeCell ref="K18:L18"/>
    <mergeCell ref="K19:L19"/>
    <mergeCell ref="K20:L20"/>
    <mergeCell ref="K21:L21"/>
    <mergeCell ref="K22:L22"/>
    <mergeCell ref="K23:L23"/>
    <mergeCell ref="K24:L24"/>
    <mergeCell ref="B17:C17"/>
    <mergeCell ref="D17:I17"/>
    <mergeCell ref="K17:L17"/>
    <mergeCell ref="B18:C18"/>
    <mergeCell ref="D18:I18"/>
    <mergeCell ref="B19:C19"/>
    <mergeCell ref="D19:I19"/>
    <mergeCell ref="B23:C23"/>
    <mergeCell ref="B24:C24"/>
    <mergeCell ref="B20:C20"/>
    <mergeCell ref="D20:I20"/>
    <mergeCell ref="B21:C21"/>
    <mergeCell ref="D21:I21"/>
    <mergeCell ref="B22:C22"/>
    <mergeCell ref="D22:I22"/>
    <mergeCell ref="D23:I23"/>
    <mergeCell ref="D24:I24"/>
    <mergeCell ref="B25:L27"/>
    <mergeCell ref="D28:H28"/>
    <mergeCell ref="K28:L28"/>
    <mergeCell ref="D29:H29"/>
    <mergeCell ref="K29:L29"/>
    <mergeCell ref="K30:L30"/>
    <mergeCell ref="K41:L41"/>
    <mergeCell ref="K42:L42"/>
    <mergeCell ref="N43:Q43"/>
    <mergeCell ref="R43:S43"/>
    <mergeCell ref="N44:Q44"/>
    <mergeCell ref="R44:S44"/>
    <mergeCell ref="N45:Q45"/>
    <mergeCell ref="R45:S45"/>
    <mergeCell ref="R46:S46"/>
    <mergeCell ref="N46:Q46"/>
    <mergeCell ref="N47:Q47"/>
    <mergeCell ref="R47:S47"/>
    <mergeCell ref="N48:Q48"/>
    <mergeCell ref="R48:S48"/>
    <mergeCell ref="N49:S50"/>
    <mergeCell ref="R51:S51"/>
    <mergeCell ref="N15:S15"/>
    <mergeCell ref="N17:Q17"/>
    <mergeCell ref="R17:S17"/>
    <mergeCell ref="N18:Q18"/>
    <mergeCell ref="R18:S18"/>
    <mergeCell ref="N19:Q19"/>
    <mergeCell ref="R19:S19"/>
    <mergeCell ref="R20:S20"/>
    <mergeCell ref="N21:S22"/>
    <mergeCell ref="O23:Q23"/>
    <mergeCell ref="R23:S23"/>
    <mergeCell ref="O24:Q24"/>
    <mergeCell ref="R24:S24"/>
    <mergeCell ref="R25:S25"/>
    <mergeCell ref="N25:Q25"/>
    <mergeCell ref="N26:S28"/>
    <mergeCell ref="N29:S30"/>
    <mergeCell ref="N31:P31"/>
    <mergeCell ref="Q31:S31"/>
    <mergeCell ref="N32:P32"/>
    <mergeCell ref="Q32:S32"/>
    <mergeCell ref="N36:P36"/>
    <mergeCell ref="N37:P37"/>
    <mergeCell ref="N33:P33"/>
    <mergeCell ref="Q33:S33"/>
    <mergeCell ref="N34:P34"/>
    <mergeCell ref="Q34:S34"/>
    <mergeCell ref="N35:P35"/>
    <mergeCell ref="Q35:S35"/>
    <mergeCell ref="Q36:S36"/>
    <mergeCell ref="Q37:S37"/>
    <mergeCell ref="Q38:S38"/>
    <mergeCell ref="N39:S40"/>
    <mergeCell ref="N41:Q41"/>
    <mergeCell ref="R41:S41"/>
    <mergeCell ref="N42:Q42"/>
    <mergeCell ref="R42:S42"/>
    <mergeCell ref="N55:Q55"/>
    <mergeCell ref="R55:S55"/>
    <mergeCell ref="N56:Q56"/>
    <mergeCell ref="R56:S56"/>
    <mergeCell ref="N57:Q57"/>
    <mergeCell ref="R57:S57"/>
    <mergeCell ref="N58:Q58"/>
    <mergeCell ref="R58:S58"/>
    <mergeCell ref="N51:Q51"/>
    <mergeCell ref="N52:Q52"/>
    <mergeCell ref="R52:S52"/>
    <mergeCell ref="N53:Q53"/>
    <mergeCell ref="R53:S53"/>
    <mergeCell ref="N54:Q54"/>
    <mergeCell ref="R54:S54"/>
    <mergeCell ref="D51:H51"/>
    <mergeCell ref="K51:L51"/>
    <mergeCell ref="D52:H52"/>
    <mergeCell ref="K52:L52"/>
    <mergeCell ref="D53:H53"/>
    <mergeCell ref="K53:L53"/>
    <mergeCell ref="K54:L54"/>
    <mergeCell ref="D54:H54"/>
    <mergeCell ref="D55:H55"/>
    <mergeCell ref="K55:L55"/>
    <mergeCell ref="D56:H56"/>
    <mergeCell ref="K56:L56"/>
    <mergeCell ref="D57:H57"/>
    <mergeCell ref="D58:H58"/>
    <mergeCell ref="D35:H35"/>
    <mergeCell ref="K35:L35"/>
    <mergeCell ref="D36:H36"/>
    <mergeCell ref="K36:L36"/>
    <mergeCell ref="D37:H37"/>
    <mergeCell ref="K37:L37"/>
    <mergeCell ref="K38:L38"/>
    <mergeCell ref="D38:H38"/>
    <mergeCell ref="D39:H39"/>
    <mergeCell ref="K39:L39"/>
    <mergeCell ref="D40:H40"/>
    <mergeCell ref="K40:L40"/>
    <mergeCell ref="D41:H41"/>
    <mergeCell ref="D42:H42"/>
    <mergeCell ref="D43:H43"/>
    <mergeCell ref="K43:L43"/>
    <mergeCell ref="D44:H44"/>
    <mergeCell ref="K44:L44"/>
    <mergeCell ref="D45:H45"/>
    <mergeCell ref="K45:L45"/>
    <mergeCell ref="K46:L46"/>
    <mergeCell ref="K49:L49"/>
    <mergeCell ref="K50:L50"/>
    <mergeCell ref="D46:H46"/>
    <mergeCell ref="D47:H47"/>
    <mergeCell ref="K47:L47"/>
    <mergeCell ref="D48:H48"/>
    <mergeCell ref="K48:L48"/>
    <mergeCell ref="D49:H49"/>
    <mergeCell ref="D50:H50"/>
    <mergeCell ref="K57:L57"/>
    <mergeCell ref="K58:L58"/>
    <mergeCell ref="D59:H59"/>
    <mergeCell ref="K59:L59"/>
    <mergeCell ref="D60:H60"/>
    <mergeCell ref="K60:L60"/>
    <mergeCell ref="I61:J61"/>
    <mergeCell ref="K61:L61"/>
  </mergeCells>
  <conditionalFormatting sqref="N14:P14">
    <cfRule type="beginsWith" dxfId="4" priority="1" operator="beginsWith" text="O">
      <formula>LEFT((N14),LEN("O"))=("O")</formula>
    </cfRule>
  </conditionalFormatting>
  <conditionalFormatting sqref="N14:P14">
    <cfRule type="beginsWith" dxfId="5" priority="2" operator="beginsWith" text="E">
      <formula>LEFT((N14),LEN("E"))=("E")</formula>
    </cfRule>
  </conditionalFormatting>
  <conditionalFormatting sqref="N14:P14">
    <cfRule type="beginsWith" dxfId="6" priority="3" operator="beginsWith" text="C">
      <formula>LEFT((N14),LEN("C"))=("C")</formula>
    </cfRule>
  </conditionalFormatting>
  <conditionalFormatting sqref="B13:B14">
    <cfRule type="cellIs" dxfId="0" priority="4" operator="equal">
      <formula>"FALSE"</formula>
    </cfRule>
  </conditionalFormatting>
  <conditionalFormatting sqref="B13:B14">
    <cfRule type="cellIs" dxfId="7" priority="5" operator="equal">
      <formula>"TRUE"</formula>
    </cfRule>
  </conditionalFormatting>
  <dataValidations>
    <dataValidation type="list" allowBlank="1" sqref="E3:E10">
      <formula1>T_AtkSk_N</formula1>
    </dataValidation>
    <dataValidation type="list" allowBlank="1" showErrorMessage="1" sqref="R24">
      <formula1>T_StdOfLiv_N</formula1>
    </dataValidation>
  </dataValidation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5F06"/>
    <outlinePr summaryBelow="0" summaryRight="0"/>
  </sheetPr>
  <sheetViews>
    <sheetView showGridLines="0" workbookViewId="0"/>
  </sheetViews>
  <sheetFormatPr customHeight="1" defaultColWidth="14.43" defaultRowHeight="15.75" outlineLevelCol="1" outlineLevelRow="1"/>
  <cols>
    <col customWidth="1" min="1" max="1" width="1.29"/>
    <col customWidth="1" min="2" max="2" width="16.14"/>
    <col customWidth="1" min="3" max="4" width="7.0"/>
    <col customWidth="1" min="5" max="5" width="5.86"/>
    <col customWidth="1" min="6" max="6" width="3.57"/>
    <col customWidth="1" min="7" max="7" width="9.29"/>
    <col customWidth="1" min="8" max="8" width="4.71"/>
    <col customWidth="1" min="9" max="9" width="2.43"/>
    <col customWidth="1" min="10" max="10" width="4.71"/>
    <col customWidth="1" min="11" max="11" width="5.86"/>
    <col customWidth="1" min="12" max="12" width="3.57"/>
    <col customWidth="1" min="13" max="13" width="2.43"/>
    <col customWidth="1" min="14" max="14" width="4.71"/>
    <col customWidth="1" min="15" max="15" width="7.0"/>
    <col customWidth="1" min="16" max="16" width="4.71"/>
    <col customWidth="1" min="17" max="17" width="13.86"/>
    <col customWidth="1" min="18" max="18" width="4.71"/>
    <col customWidth="1" min="19" max="19" width="9.29"/>
    <col customWidth="1" min="20" max="20" width="4.71"/>
    <col customWidth="1" min="21" max="21" width="3.57"/>
    <col customWidth="1" min="22" max="22" width="12.71"/>
    <col customWidth="1" min="23" max="23" width="1.29"/>
    <col customWidth="1" min="24" max="24" width="13.86"/>
    <col customWidth="1" min="25" max="25" width="27.57" outlineLevel="1"/>
    <col customWidth="1" min="26" max="26" width="4.71" outlineLevel="1"/>
    <col customWidth="1" min="27" max="27" width="9.29" outlineLevel="1"/>
    <col customWidth="1" min="28" max="28" width="10.43" outlineLevel="1"/>
    <col customWidth="1" min="29" max="29" width="16.14" outlineLevel="1"/>
    <col customWidth="1" min="30" max="30" width="1.29"/>
  </cols>
  <sheetData>
    <row r="1" ht="16.5" customHeight="1">
      <c r="A1" s="1"/>
      <c r="B1" s="187" t="s">
        <v>259</v>
      </c>
      <c r="AD1" s="1"/>
    </row>
    <row r="2" ht="36.0" customHeight="1">
      <c r="A2" s="1"/>
      <c r="B2" s="3" t="str">
        <f>IF(C3="","VEHICLE 1",UPPER(C3))</f>
        <v>VEHICLE 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1"/>
    </row>
    <row r="3" ht="16.5" customHeight="1">
      <c r="A3" s="1"/>
      <c r="B3" s="62" t="s">
        <v>260</v>
      </c>
      <c r="C3" s="8"/>
      <c r="D3" s="15"/>
      <c r="E3" s="15"/>
      <c r="F3" s="15"/>
      <c r="G3" s="15"/>
      <c r="H3" s="15"/>
      <c r="I3" s="9"/>
      <c r="J3" s="1"/>
      <c r="K3" s="1"/>
      <c r="L3" s="1"/>
      <c r="M3" s="1"/>
      <c r="N3" s="1"/>
      <c r="O3" s="1"/>
      <c r="P3" s="1"/>
      <c r="Q3" s="1"/>
      <c r="R3" s="1"/>
      <c r="S3" s="62" t="s">
        <v>261</v>
      </c>
      <c r="V3" s="188">
        <f>VALUE(AA36)</f>
        <v>0</v>
      </c>
      <c r="W3" s="189" t="s">
        <v>262</v>
      </c>
      <c r="X3" s="190" t="str">
        <f>IF(C12="","--",C12)</f>
        <v>--</v>
      </c>
      <c r="Y3" s="1"/>
      <c r="Z3" s="1"/>
      <c r="AA3" s="1"/>
      <c r="AB3" s="1"/>
      <c r="AC3" s="1"/>
      <c r="AD3" s="1"/>
    </row>
    <row r="4" ht="16.5" customHeight="1" outlineLevel="1">
      <c r="A4" s="1"/>
      <c r="B4" s="62" t="s">
        <v>231</v>
      </c>
      <c r="C4" s="191"/>
      <c r="D4" s="15"/>
      <c r="E4" s="9"/>
      <c r="F4" s="62" t="s">
        <v>230</v>
      </c>
      <c r="H4" s="11"/>
      <c r="I4" s="9"/>
      <c r="J4" s="1"/>
      <c r="K4" s="80" t="s">
        <v>214</v>
      </c>
      <c r="P4" s="1"/>
      <c r="Q4" s="80" t="s">
        <v>263</v>
      </c>
      <c r="T4" s="1"/>
      <c r="U4" s="80" t="s">
        <v>264</v>
      </c>
      <c r="AD4" s="1"/>
    </row>
    <row r="5" ht="16.5" customHeight="1" outlineLevel="1">
      <c r="A5" s="1"/>
      <c r="B5" s="1"/>
      <c r="C5" s="1"/>
      <c r="D5" s="1"/>
      <c r="E5" s="1"/>
      <c r="F5" s="1"/>
      <c r="G5" s="1"/>
      <c r="H5" s="1"/>
      <c r="I5" s="1"/>
      <c r="J5" s="1"/>
      <c r="K5" s="4"/>
      <c r="L5" s="4"/>
      <c r="M5" s="4"/>
      <c r="N5" s="4"/>
      <c r="O5" s="4"/>
      <c r="P5" s="1"/>
      <c r="Q5" s="4"/>
      <c r="R5" s="4"/>
      <c r="S5" s="4"/>
      <c r="T5" s="1"/>
      <c r="U5" s="4"/>
      <c r="V5" s="4"/>
      <c r="W5" s="4"/>
      <c r="X5" s="4"/>
      <c r="Y5" s="4"/>
      <c r="Z5" s="4"/>
      <c r="AA5" s="4"/>
      <c r="AB5" s="4"/>
      <c r="AC5" s="4"/>
      <c r="AD5" s="1"/>
    </row>
    <row r="6" ht="16.5" customHeight="1" outlineLevel="1">
      <c r="A6" s="1"/>
      <c r="B6" s="62" t="s">
        <v>50</v>
      </c>
      <c r="C6" s="8"/>
      <c r="D6" s="15"/>
      <c r="E6" s="15"/>
      <c r="F6" s="9"/>
      <c r="G6" s="62" t="s">
        <v>265</v>
      </c>
      <c r="H6" s="192"/>
      <c r="I6" s="79"/>
      <c r="J6" s="1"/>
      <c r="K6" s="1"/>
      <c r="L6" s="1"/>
      <c r="M6" s="6" t="s">
        <v>66</v>
      </c>
      <c r="O6" s="6" t="s">
        <v>34</v>
      </c>
      <c r="P6" s="1"/>
      <c r="Q6" s="193"/>
      <c r="R6" s="194"/>
      <c r="S6" s="25"/>
      <c r="T6" s="1"/>
      <c r="U6" s="6" t="s">
        <v>244</v>
      </c>
      <c r="V6" s="6" t="s">
        <v>245</v>
      </c>
      <c r="Y6" s="6" t="s">
        <v>54</v>
      </c>
      <c r="Z6" s="6" t="s">
        <v>230</v>
      </c>
      <c r="AA6" s="6" t="s">
        <v>246</v>
      </c>
      <c r="AB6" s="6" t="s">
        <v>266</v>
      </c>
      <c r="AC6" s="6" t="s">
        <v>231</v>
      </c>
      <c r="AD6" s="1"/>
    </row>
    <row r="7" ht="16.5" customHeight="1" outlineLevel="1">
      <c r="A7" s="1"/>
      <c r="B7" s="62" t="s">
        <v>267</v>
      </c>
      <c r="H7" s="195" t="str">
        <f>IF(C6="","--",IFERROR(VLOOKUP(C6,T_VSk,2,FALSE),"?")+DexDM+H6)</f>
        <v>--</v>
      </c>
      <c r="I7" s="156"/>
      <c r="J7" s="1"/>
      <c r="K7" s="62" t="s">
        <v>268</v>
      </c>
      <c r="M7" s="11"/>
      <c r="N7" s="16"/>
      <c r="O7" s="196"/>
      <c r="P7" s="1"/>
      <c r="Q7" s="197"/>
      <c r="R7" s="198"/>
      <c r="S7" s="199"/>
      <c r="T7" s="1"/>
      <c r="U7" s="31">
        <v>0.0</v>
      </c>
      <c r="V7" s="200"/>
      <c r="W7" s="35"/>
      <c r="X7" s="131"/>
      <c r="Y7" s="201"/>
      <c r="Z7" s="202"/>
      <c r="AA7" s="132" t="s">
        <v>269</v>
      </c>
      <c r="AB7" s="203" t="str">
        <f t="shared" ref="AB7:AB35" si="1">IFS(AA7="",,ISNUMBER(AA7),AA7&amp;"",RIGHT(AA7,2)="kg",LEFT(AA7,LEN(AA7)-2)*0.001&amp;"",RIGHT(AA7,3)="kgs",LEFT(AA7,LEN(AA7)-3)*0.001&amp;"",RIGHT(AA7,3)="ton",VALUE(LEFT(AA7,LEN(AA7)-3))&amp;"",RIGHT(AA7,4)="tons",VALUE(LEFT(AA7,LEN(AA7)-4))&amp;"",AND(RIGHT(AA7,1)="t",NOT(ISERROR(VALUE(LEFT(AA7,LEN(AA7)-1))))),VALUE(LEFT(AA7,LEN(AA7)-1))&amp;"",TRUE,"?")</f>
        <v>0.035</v>
      </c>
      <c r="AC7" s="204">
        <v>0.0</v>
      </c>
      <c r="AD7" s="205"/>
    </row>
    <row r="8" ht="16.5" customHeight="1" outlineLevel="1">
      <c r="A8" s="1"/>
      <c r="B8" s="1"/>
      <c r="C8" s="1"/>
      <c r="D8" s="1"/>
      <c r="E8" s="1"/>
      <c r="F8" s="1"/>
      <c r="G8" s="1"/>
      <c r="H8" s="1"/>
      <c r="I8" s="1"/>
      <c r="J8" s="1"/>
      <c r="K8" s="62" t="s">
        <v>270</v>
      </c>
      <c r="M8" s="11"/>
      <c r="N8" s="16"/>
      <c r="O8" s="196"/>
      <c r="P8" s="1"/>
      <c r="Q8" s="197"/>
      <c r="R8" s="198"/>
      <c r="S8" s="199"/>
      <c r="T8" s="1"/>
      <c r="U8" s="37">
        <v>0.0</v>
      </c>
      <c r="V8" s="42"/>
      <c r="W8" s="43"/>
      <c r="X8" s="105"/>
      <c r="Y8" s="38"/>
      <c r="Z8" s="41"/>
      <c r="AA8" s="135"/>
      <c r="AB8" s="206" t="str">
        <f t="shared" si="1"/>
        <v/>
      </c>
      <c r="AC8" s="207"/>
      <c r="AD8" s="205"/>
    </row>
    <row r="9" ht="16.5" customHeight="1" outlineLevel="1">
      <c r="A9" s="1"/>
      <c r="B9" s="62" t="s">
        <v>271</v>
      </c>
      <c r="C9" s="130"/>
      <c r="D9" s="36"/>
      <c r="E9" s="62" t="s">
        <v>272</v>
      </c>
      <c r="H9" s="208"/>
      <c r="I9" s="36"/>
      <c r="J9" s="1"/>
      <c r="K9" s="62" t="s">
        <v>273</v>
      </c>
      <c r="M9" s="11"/>
      <c r="N9" s="16"/>
      <c r="O9" s="196"/>
      <c r="P9" s="1"/>
      <c r="Q9" s="197"/>
      <c r="R9" s="198"/>
      <c r="S9" s="199"/>
      <c r="T9" s="1"/>
      <c r="U9" s="37">
        <v>0.0</v>
      </c>
      <c r="V9" s="121"/>
      <c r="W9" s="43"/>
      <c r="X9" s="105"/>
      <c r="Y9" s="38"/>
      <c r="Z9" s="41"/>
      <c r="AA9" s="135"/>
      <c r="AB9" s="206" t="str">
        <f t="shared" si="1"/>
        <v/>
      </c>
      <c r="AC9" s="207"/>
      <c r="AD9" s="205"/>
    </row>
    <row r="10" ht="16.5" customHeight="1" outlineLevel="1">
      <c r="A10" s="1"/>
      <c r="B10" s="62" t="s">
        <v>274</v>
      </c>
      <c r="C10" s="209" t="str">
        <f t="array" ref="C10">IFERROR(INDEX(T_VSpB_N,MAX(MATCH(C9,T_VSpB_N,0)-1,1),1),"--")</f>
        <v>--</v>
      </c>
      <c r="D10" s="51"/>
      <c r="E10" s="62" t="s">
        <v>275</v>
      </c>
      <c r="H10" s="210" t="str">
        <f>IF(H9="","--",H9*1.5)</f>
        <v>--</v>
      </c>
      <c r="I10" s="51"/>
      <c r="J10" s="1"/>
      <c r="K10" s="80" t="s">
        <v>276</v>
      </c>
      <c r="P10" s="1"/>
      <c r="Q10" s="197"/>
      <c r="R10" s="198"/>
      <c r="S10" s="199"/>
      <c r="T10" s="1"/>
      <c r="U10" s="37">
        <v>0.0</v>
      </c>
      <c r="V10" s="42"/>
      <c r="W10" s="43"/>
      <c r="X10" s="105"/>
      <c r="Y10" s="38"/>
      <c r="Z10" s="41"/>
      <c r="AA10" s="135"/>
      <c r="AB10" s="206" t="str">
        <f t="shared" si="1"/>
        <v/>
      </c>
      <c r="AC10" s="211"/>
      <c r="AD10" s="205"/>
    </row>
    <row r="11" ht="16.5" customHeight="1" outlineLevel="1">
      <c r="A11" s="1"/>
      <c r="B11" s="1"/>
      <c r="C11" s="1"/>
      <c r="D11" s="1"/>
      <c r="E11" s="1"/>
      <c r="F11" s="1"/>
      <c r="G11" s="1"/>
      <c r="H11" s="1"/>
      <c r="I11" s="1"/>
      <c r="J11" s="1"/>
      <c r="K11" s="4"/>
      <c r="L11" s="4"/>
      <c r="M11" s="4"/>
      <c r="N11" s="4"/>
      <c r="O11" s="4"/>
      <c r="P11" s="1"/>
      <c r="Q11" s="197"/>
      <c r="R11" s="198"/>
      <c r="S11" s="199"/>
      <c r="T11" s="1"/>
      <c r="U11" s="37">
        <v>0.0</v>
      </c>
      <c r="V11" s="42"/>
      <c r="W11" s="43"/>
      <c r="X11" s="105"/>
      <c r="Y11" s="38"/>
      <c r="Z11" s="41"/>
      <c r="AA11" s="135"/>
      <c r="AB11" s="206" t="str">
        <f t="shared" si="1"/>
        <v/>
      </c>
      <c r="AC11" s="211"/>
      <c r="AD11" s="205"/>
    </row>
    <row r="12" ht="16.5" customHeight="1" outlineLevel="1">
      <c r="A12" s="1"/>
      <c r="B12" s="62" t="s">
        <v>277</v>
      </c>
      <c r="C12" s="212"/>
      <c r="D12" s="9"/>
      <c r="E12" s="62" t="s">
        <v>278</v>
      </c>
      <c r="H12" s="11"/>
      <c r="I12" s="9"/>
      <c r="J12" s="1"/>
      <c r="K12" s="1"/>
      <c r="L12" s="1"/>
      <c r="M12" s="6" t="s">
        <v>66</v>
      </c>
      <c r="O12" s="6" t="s">
        <v>34</v>
      </c>
      <c r="P12" s="1"/>
      <c r="Q12" s="197"/>
      <c r="R12" s="198"/>
      <c r="S12" s="199"/>
      <c r="T12" s="1"/>
      <c r="U12" s="37">
        <v>0.0</v>
      </c>
      <c r="V12" s="42"/>
      <c r="W12" s="43"/>
      <c r="X12" s="105"/>
      <c r="Y12" s="38"/>
      <c r="Z12" s="41"/>
      <c r="AA12" s="135"/>
      <c r="AB12" s="206" t="str">
        <f t="shared" si="1"/>
        <v/>
      </c>
      <c r="AC12" s="211"/>
      <c r="AD12" s="205"/>
    </row>
    <row r="13" ht="16.5" customHeight="1" outlineLevel="1">
      <c r="A13" s="1"/>
      <c r="B13" s="62" t="s">
        <v>279</v>
      </c>
      <c r="C13" s="212"/>
      <c r="D13" s="9"/>
      <c r="E13" s="62" t="s">
        <v>280</v>
      </c>
      <c r="H13" s="11"/>
      <c r="I13" s="9"/>
      <c r="J13" s="1"/>
      <c r="K13" s="62" t="s">
        <v>281</v>
      </c>
      <c r="M13" s="11"/>
      <c r="N13" s="16"/>
      <c r="O13" s="196"/>
      <c r="P13" s="1"/>
      <c r="Q13" s="213"/>
      <c r="R13" s="214"/>
      <c r="S13" s="30"/>
      <c r="T13" s="1"/>
      <c r="U13" s="37">
        <v>0.0</v>
      </c>
      <c r="V13" s="42"/>
      <c r="W13" s="43"/>
      <c r="X13" s="105"/>
      <c r="Y13" s="38"/>
      <c r="Z13" s="41"/>
      <c r="AA13" s="135"/>
      <c r="AB13" s="206" t="str">
        <f t="shared" si="1"/>
        <v/>
      </c>
      <c r="AC13" s="211"/>
      <c r="AD13" s="205"/>
    </row>
    <row r="14" ht="16.5" customHeight="1" outlineLevel="1">
      <c r="A14" s="1"/>
      <c r="B14" s="80" t="s">
        <v>282</v>
      </c>
      <c r="N14" s="1"/>
      <c r="O14" s="80" t="s">
        <v>283</v>
      </c>
      <c r="T14" s="1"/>
      <c r="U14" s="37">
        <v>0.0</v>
      </c>
      <c r="V14" s="42"/>
      <c r="W14" s="43"/>
      <c r="X14" s="105"/>
      <c r="Y14" s="38"/>
      <c r="Z14" s="41"/>
      <c r="AA14" s="135"/>
      <c r="AB14" s="206" t="str">
        <f t="shared" si="1"/>
        <v/>
      </c>
      <c r="AC14" s="211"/>
      <c r="AD14" s="205"/>
    </row>
    <row r="15" ht="16.5" customHeight="1" outlineLevel="1">
      <c r="A15" s="1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1"/>
      <c r="O15" s="4"/>
      <c r="P15" s="4"/>
      <c r="Q15" s="4"/>
      <c r="R15" s="4"/>
      <c r="S15" s="4"/>
      <c r="T15" s="1"/>
      <c r="U15" s="37">
        <v>0.0</v>
      </c>
      <c r="V15" s="42"/>
      <c r="W15" s="43"/>
      <c r="X15" s="105"/>
      <c r="Y15" s="38"/>
      <c r="Z15" s="41"/>
      <c r="AA15" s="135"/>
      <c r="AB15" s="206" t="str">
        <f t="shared" si="1"/>
        <v/>
      </c>
      <c r="AC15" s="211"/>
      <c r="AD15" s="205"/>
    </row>
    <row r="16" ht="16.5" customHeight="1" outlineLevel="1">
      <c r="A16" s="1"/>
      <c r="B16" s="81"/>
      <c r="C16" s="22"/>
      <c r="D16" s="22"/>
      <c r="E16" s="23"/>
      <c r="F16" s="82"/>
      <c r="G16" s="22"/>
      <c r="H16" s="22"/>
      <c r="I16" s="22"/>
      <c r="J16" s="22"/>
      <c r="K16" s="22"/>
      <c r="L16" s="22"/>
      <c r="M16" s="25"/>
      <c r="N16" s="1"/>
      <c r="O16" s="62" t="s">
        <v>284</v>
      </c>
      <c r="S16" s="13"/>
      <c r="T16" s="1"/>
      <c r="U16" s="37">
        <v>0.0</v>
      </c>
      <c r="V16" s="42"/>
      <c r="W16" s="43"/>
      <c r="X16" s="105"/>
      <c r="Y16" s="38"/>
      <c r="Z16" s="41"/>
      <c r="AA16" s="135"/>
      <c r="AB16" s="206" t="str">
        <f t="shared" si="1"/>
        <v/>
      </c>
      <c r="AC16" s="211"/>
      <c r="AD16" s="205"/>
    </row>
    <row r="17" ht="16.5" customHeight="1" outlineLevel="1">
      <c r="A17" s="1"/>
      <c r="B17" s="215"/>
      <c r="C17" s="216"/>
      <c r="D17" s="216"/>
      <c r="E17" s="217"/>
      <c r="F17" s="218"/>
      <c r="G17" s="216"/>
      <c r="H17" s="216"/>
      <c r="I17" s="216"/>
      <c r="J17" s="216"/>
      <c r="K17" s="216"/>
      <c r="L17" s="216"/>
      <c r="M17" s="199"/>
      <c r="N17" s="1"/>
      <c r="O17" s="62" t="s">
        <v>285</v>
      </c>
      <c r="S17" s="13"/>
      <c r="T17" s="1"/>
      <c r="U17" s="37">
        <v>0.0</v>
      </c>
      <c r="V17" s="42"/>
      <c r="W17" s="43"/>
      <c r="X17" s="105"/>
      <c r="Y17" s="38"/>
      <c r="Z17" s="41"/>
      <c r="AA17" s="135"/>
      <c r="AB17" s="206" t="str">
        <f t="shared" si="1"/>
        <v/>
      </c>
      <c r="AC17" s="211"/>
      <c r="AD17" s="205"/>
    </row>
    <row r="18" ht="16.5" customHeight="1" outlineLevel="1">
      <c r="A18" s="1"/>
      <c r="B18" s="215"/>
      <c r="C18" s="216"/>
      <c r="D18" s="216"/>
      <c r="E18" s="217"/>
      <c r="F18" s="218"/>
      <c r="G18" s="216"/>
      <c r="H18" s="216"/>
      <c r="I18" s="216"/>
      <c r="J18" s="216"/>
      <c r="K18" s="216"/>
      <c r="L18" s="216"/>
      <c r="M18" s="199"/>
      <c r="N18" s="1"/>
      <c r="O18" s="62" t="s">
        <v>286</v>
      </c>
      <c r="S18" s="13"/>
      <c r="T18" s="1"/>
      <c r="U18" s="37">
        <v>0.0</v>
      </c>
      <c r="V18" s="42"/>
      <c r="W18" s="43"/>
      <c r="X18" s="105"/>
      <c r="Y18" s="38"/>
      <c r="Z18" s="41"/>
      <c r="AA18" s="219"/>
      <c r="AB18" s="206" t="str">
        <f t="shared" si="1"/>
        <v/>
      </c>
      <c r="AC18" s="211"/>
      <c r="AD18" s="205"/>
    </row>
    <row r="19" ht="16.5" customHeight="1" outlineLevel="1">
      <c r="A19" s="1"/>
      <c r="B19" s="215"/>
      <c r="C19" s="216"/>
      <c r="D19" s="216"/>
      <c r="E19" s="217"/>
      <c r="F19" s="218"/>
      <c r="G19" s="216"/>
      <c r="H19" s="216"/>
      <c r="I19" s="216"/>
      <c r="J19" s="216"/>
      <c r="K19" s="216"/>
      <c r="L19" s="216"/>
      <c r="M19" s="199"/>
      <c r="N19" s="1"/>
      <c r="O19" s="62" t="s">
        <v>287</v>
      </c>
      <c r="S19" s="13"/>
      <c r="T19" s="1"/>
      <c r="U19" s="37">
        <v>0.0</v>
      </c>
      <c r="V19" s="42"/>
      <c r="W19" s="43"/>
      <c r="X19" s="105"/>
      <c r="Y19" s="38"/>
      <c r="Z19" s="41"/>
      <c r="AA19" s="135"/>
      <c r="AB19" s="206" t="str">
        <f t="shared" si="1"/>
        <v/>
      </c>
      <c r="AC19" s="211"/>
      <c r="AD19" s="205"/>
    </row>
    <row r="20" ht="16.5" customHeight="1" outlineLevel="1">
      <c r="A20" s="1"/>
      <c r="B20" s="215"/>
      <c r="C20" s="216"/>
      <c r="D20" s="216"/>
      <c r="E20" s="217"/>
      <c r="F20" s="218"/>
      <c r="G20" s="216"/>
      <c r="H20" s="216"/>
      <c r="I20" s="216"/>
      <c r="J20" s="216"/>
      <c r="K20" s="216"/>
      <c r="L20" s="216"/>
      <c r="M20" s="199"/>
      <c r="N20" s="1"/>
      <c r="O20" s="62" t="s">
        <v>288</v>
      </c>
      <c r="S20" s="13"/>
      <c r="T20" s="1"/>
      <c r="U20" s="37">
        <v>0.0</v>
      </c>
      <c r="V20" s="42"/>
      <c r="W20" s="43"/>
      <c r="X20" s="105"/>
      <c r="Y20" s="38"/>
      <c r="Z20" s="41"/>
      <c r="AA20" s="219"/>
      <c r="AB20" s="206" t="str">
        <f t="shared" si="1"/>
        <v/>
      </c>
      <c r="AC20" s="211"/>
      <c r="AD20" s="205"/>
    </row>
    <row r="21" ht="16.5" customHeight="1" outlineLevel="1">
      <c r="A21" s="1"/>
      <c r="B21" s="215"/>
      <c r="C21" s="216"/>
      <c r="D21" s="216"/>
      <c r="E21" s="217"/>
      <c r="F21" s="218"/>
      <c r="G21" s="216"/>
      <c r="H21" s="216"/>
      <c r="I21" s="216"/>
      <c r="J21" s="216"/>
      <c r="K21" s="216"/>
      <c r="L21" s="216"/>
      <c r="M21" s="199"/>
      <c r="N21" s="1"/>
      <c r="O21" s="62" t="s">
        <v>289</v>
      </c>
      <c r="S21" s="13"/>
      <c r="T21" s="1"/>
      <c r="U21" s="37">
        <v>0.0</v>
      </c>
      <c r="V21" s="42"/>
      <c r="W21" s="43"/>
      <c r="X21" s="105"/>
      <c r="Y21" s="38"/>
      <c r="Z21" s="41"/>
      <c r="AA21" s="219"/>
      <c r="AB21" s="206" t="str">
        <f t="shared" si="1"/>
        <v/>
      </c>
      <c r="AC21" s="211"/>
      <c r="AD21" s="205"/>
    </row>
    <row r="22" ht="16.5" customHeight="1" outlineLevel="1">
      <c r="A22" s="1"/>
      <c r="B22" s="220"/>
      <c r="C22" s="216"/>
      <c r="D22" s="216"/>
      <c r="E22" s="217"/>
      <c r="F22" s="198"/>
      <c r="G22" s="216"/>
      <c r="H22" s="216"/>
      <c r="I22" s="216"/>
      <c r="J22" s="216"/>
      <c r="K22" s="216"/>
      <c r="L22" s="216"/>
      <c r="M22" s="199"/>
      <c r="N22" s="1"/>
      <c r="O22" s="80" t="s">
        <v>290</v>
      </c>
      <c r="T22" s="1"/>
      <c r="U22" s="37">
        <v>0.0</v>
      </c>
      <c r="V22" s="42"/>
      <c r="W22" s="43"/>
      <c r="X22" s="105"/>
      <c r="Y22" s="38"/>
      <c r="Z22" s="41"/>
      <c r="AA22" s="219"/>
      <c r="AB22" s="206" t="str">
        <f t="shared" si="1"/>
        <v/>
      </c>
      <c r="AC22" s="211"/>
      <c r="AD22" s="205"/>
    </row>
    <row r="23" ht="16.5" customHeight="1" outlineLevel="1">
      <c r="A23" s="1"/>
      <c r="B23" s="215"/>
      <c r="C23" s="216"/>
      <c r="D23" s="216"/>
      <c r="E23" s="217"/>
      <c r="F23" s="218"/>
      <c r="G23" s="216"/>
      <c r="H23" s="216"/>
      <c r="I23" s="216"/>
      <c r="J23" s="216"/>
      <c r="K23" s="216"/>
      <c r="L23" s="216"/>
      <c r="M23" s="199"/>
      <c r="N23" s="1"/>
      <c r="O23" s="4"/>
      <c r="P23" s="4"/>
      <c r="Q23" s="4"/>
      <c r="R23" s="4"/>
      <c r="S23" s="4"/>
      <c r="T23" s="1"/>
      <c r="U23" s="37">
        <v>0.0</v>
      </c>
      <c r="V23" s="42"/>
      <c r="W23" s="43"/>
      <c r="X23" s="105"/>
      <c r="Y23" s="38"/>
      <c r="Z23" s="41"/>
      <c r="AA23" s="219"/>
      <c r="AB23" s="206" t="str">
        <f t="shared" si="1"/>
        <v/>
      </c>
      <c r="AC23" s="211"/>
      <c r="AD23" s="205"/>
    </row>
    <row r="24" ht="16.5" customHeight="1" outlineLevel="1">
      <c r="A24" s="1"/>
      <c r="B24" s="215"/>
      <c r="C24" s="216"/>
      <c r="D24" s="216"/>
      <c r="E24" s="217"/>
      <c r="F24" s="218"/>
      <c r="G24" s="216"/>
      <c r="H24" s="216"/>
      <c r="I24" s="216"/>
      <c r="J24" s="216"/>
      <c r="K24" s="216"/>
      <c r="L24" s="216"/>
      <c r="M24" s="199"/>
      <c r="N24" s="1"/>
      <c r="O24" s="6" t="s">
        <v>291</v>
      </c>
      <c r="Q24" s="6" t="s">
        <v>292</v>
      </c>
      <c r="T24" s="1"/>
      <c r="U24" s="37">
        <v>0.0</v>
      </c>
      <c r="V24" s="42"/>
      <c r="W24" s="43"/>
      <c r="X24" s="105"/>
      <c r="Y24" s="38"/>
      <c r="Z24" s="41"/>
      <c r="AA24" s="219"/>
      <c r="AB24" s="206" t="str">
        <f t="shared" si="1"/>
        <v/>
      </c>
      <c r="AC24" s="211"/>
      <c r="AD24" s="205"/>
    </row>
    <row r="25" ht="16.5" customHeight="1" outlineLevel="1">
      <c r="A25" s="1"/>
      <c r="B25" s="215"/>
      <c r="C25" s="216"/>
      <c r="D25" s="216"/>
      <c r="E25" s="217"/>
      <c r="F25" s="218"/>
      <c r="G25" s="216"/>
      <c r="H25" s="216"/>
      <c r="I25" s="216"/>
      <c r="J25" s="216"/>
      <c r="K25" s="216"/>
      <c r="L25" s="216"/>
      <c r="M25" s="199"/>
      <c r="N25" s="1"/>
      <c r="O25" s="221"/>
      <c r="P25" s="131"/>
      <c r="Q25" s="222"/>
      <c r="R25" s="35"/>
      <c r="S25" s="36"/>
      <c r="T25" s="1"/>
      <c r="U25" s="37">
        <v>0.0</v>
      </c>
      <c r="V25" s="42"/>
      <c r="W25" s="43"/>
      <c r="X25" s="105"/>
      <c r="Y25" s="38"/>
      <c r="Z25" s="41"/>
      <c r="AA25" s="219"/>
      <c r="AB25" s="206" t="str">
        <f t="shared" si="1"/>
        <v/>
      </c>
      <c r="AC25" s="211"/>
      <c r="AD25" s="205"/>
    </row>
    <row r="26" ht="16.5" customHeight="1" outlineLevel="1">
      <c r="A26" s="1"/>
      <c r="B26" s="215"/>
      <c r="C26" s="216"/>
      <c r="D26" s="216"/>
      <c r="E26" s="217"/>
      <c r="F26" s="218"/>
      <c r="G26" s="216"/>
      <c r="H26" s="216"/>
      <c r="I26" s="216"/>
      <c r="J26" s="216"/>
      <c r="K26" s="216"/>
      <c r="L26" s="216"/>
      <c r="M26" s="199"/>
      <c r="N26" s="1"/>
      <c r="O26" s="223"/>
      <c r="P26" s="105"/>
      <c r="Q26" s="224"/>
      <c r="R26" s="43"/>
      <c r="S26" s="44"/>
      <c r="T26" s="1"/>
      <c r="U26" s="37">
        <v>0.0</v>
      </c>
      <c r="V26" s="42"/>
      <c r="W26" s="43"/>
      <c r="X26" s="105"/>
      <c r="Y26" s="38"/>
      <c r="Z26" s="41"/>
      <c r="AA26" s="219"/>
      <c r="AB26" s="206" t="str">
        <f t="shared" si="1"/>
        <v/>
      </c>
      <c r="AC26" s="211"/>
      <c r="AD26" s="205"/>
    </row>
    <row r="27" ht="16.5" customHeight="1" outlineLevel="1">
      <c r="A27" s="1"/>
      <c r="B27" s="215"/>
      <c r="C27" s="216"/>
      <c r="D27" s="216"/>
      <c r="E27" s="217"/>
      <c r="F27" s="218"/>
      <c r="G27" s="216"/>
      <c r="H27" s="216"/>
      <c r="I27" s="216"/>
      <c r="J27" s="216"/>
      <c r="K27" s="216"/>
      <c r="L27" s="216"/>
      <c r="M27" s="199"/>
      <c r="N27" s="1"/>
      <c r="O27" s="223"/>
      <c r="P27" s="105"/>
      <c r="Q27" s="225"/>
      <c r="R27" s="43"/>
      <c r="S27" s="44"/>
      <c r="T27" s="1"/>
      <c r="U27" s="37">
        <v>0.0</v>
      </c>
      <c r="V27" s="42"/>
      <c r="W27" s="43"/>
      <c r="X27" s="105"/>
      <c r="Y27" s="38"/>
      <c r="Z27" s="41"/>
      <c r="AA27" s="219"/>
      <c r="AB27" s="206" t="str">
        <f t="shared" si="1"/>
        <v/>
      </c>
      <c r="AC27" s="211"/>
      <c r="AD27" s="205"/>
    </row>
    <row r="28" ht="16.5" customHeight="1" outlineLevel="1">
      <c r="A28" s="1"/>
      <c r="B28" s="215"/>
      <c r="C28" s="216"/>
      <c r="D28" s="216"/>
      <c r="E28" s="217"/>
      <c r="F28" s="218"/>
      <c r="G28" s="216"/>
      <c r="H28" s="216"/>
      <c r="I28" s="216"/>
      <c r="J28" s="216"/>
      <c r="K28" s="216"/>
      <c r="L28" s="216"/>
      <c r="M28" s="199"/>
      <c r="N28" s="1"/>
      <c r="O28" s="223"/>
      <c r="P28" s="105"/>
      <c r="Q28" s="225"/>
      <c r="R28" s="43"/>
      <c r="S28" s="44"/>
      <c r="T28" s="1"/>
      <c r="U28" s="37">
        <v>0.0</v>
      </c>
      <c r="V28" s="42"/>
      <c r="W28" s="43"/>
      <c r="X28" s="105"/>
      <c r="Y28" s="38"/>
      <c r="Z28" s="41"/>
      <c r="AA28" s="219"/>
      <c r="AB28" s="206" t="str">
        <f t="shared" si="1"/>
        <v/>
      </c>
      <c r="AC28" s="211"/>
      <c r="AD28" s="205"/>
    </row>
    <row r="29" ht="16.5" customHeight="1" outlineLevel="1">
      <c r="A29" s="1"/>
      <c r="B29" s="83"/>
      <c r="C29" s="27"/>
      <c r="D29" s="27"/>
      <c r="E29" s="28"/>
      <c r="F29" s="84"/>
      <c r="G29" s="27"/>
      <c r="H29" s="27"/>
      <c r="I29" s="27"/>
      <c r="J29" s="27"/>
      <c r="K29" s="27"/>
      <c r="L29" s="27"/>
      <c r="M29" s="30"/>
      <c r="N29" s="1"/>
      <c r="O29" s="226"/>
      <c r="P29" s="141"/>
      <c r="Q29" s="227"/>
      <c r="R29" s="50"/>
      <c r="S29" s="51"/>
      <c r="T29" s="1"/>
      <c r="U29" s="37">
        <v>0.0</v>
      </c>
      <c r="V29" s="42"/>
      <c r="W29" s="43"/>
      <c r="X29" s="105"/>
      <c r="Y29" s="38"/>
      <c r="Z29" s="41"/>
      <c r="AA29" s="219"/>
      <c r="AB29" s="206" t="str">
        <f t="shared" si="1"/>
        <v/>
      </c>
      <c r="AC29" s="211"/>
      <c r="AD29" s="205"/>
    </row>
    <row r="30" ht="16.5" customHeight="1" outlineLevel="1">
      <c r="A30" s="1"/>
      <c r="B30" s="80" t="s">
        <v>200</v>
      </c>
      <c r="T30" s="1"/>
      <c r="U30" s="37">
        <v>0.0</v>
      </c>
      <c r="V30" s="42"/>
      <c r="W30" s="43"/>
      <c r="X30" s="105"/>
      <c r="Y30" s="38"/>
      <c r="Z30" s="41"/>
      <c r="AA30" s="219"/>
      <c r="AB30" s="206" t="str">
        <f t="shared" si="1"/>
        <v/>
      </c>
      <c r="AC30" s="211"/>
      <c r="AD30" s="205"/>
    </row>
    <row r="31" ht="16.5" customHeight="1" outlineLevel="1">
      <c r="A31" s="1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1"/>
      <c r="U31" s="37">
        <v>0.0</v>
      </c>
      <c r="V31" s="42"/>
      <c r="W31" s="43"/>
      <c r="X31" s="105"/>
      <c r="Y31" s="38"/>
      <c r="Z31" s="41"/>
      <c r="AA31" s="219"/>
      <c r="AB31" s="206" t="str">
        <f t="shared" si="1"/>
        <v/>
      </c>
      <c r="AC31" s="211"/>
      <c r="AD31" s="205"/>
    </row>
    <row r="32" ht="16.5" customHeight="1" outlineLevel="1">
      <c r="A32" s="1"/>
      <c r="B32" s="6" t="s">
        <v>202</v>
      </c>
      <c r="D32" s="6" t="s">
        <v>293</v>
      </c>
      <c r="G32" s="6" t="s">
        <v>13</v>
      </c>
      <c r="H32" s="6" t="s">
        <v>203</v>
      </c>
      <c r="I32" s="6" t="s">
        <v>206</v>
      </c>
      <c r="K32" s="6" t="s">
        <v>207</v>
      </c>
      <c r="N32" s="6" t="s">
        <v>294</v>
      </c>
      <c r="P32" s="6" t="s">
        <v>208</v>
      </c>
      <c r="S32" s="6" t="s">
        <v>295</v>
      </c>
      <c r="T32" s="1"/>
      <c r="U32" s="37">
        <v>0.0</v>
      </c>
      <c r="V32" s="42"/>
      <c r="W32" s="43"/>
      <c r="X32" s="105"/>
      <c r="Y32" s="38"/>
      <c r="Z32" s="41"/>
      <c r="AA32" s="219"/>
      <c r="AB32" s="206" t="str">
        <f t="shared" si="1"/>
        <v/>
      </c>
      <c r="AC32" s="211"/>
      <c r="AD32" s="205"/>
    </row>
    <row r="33" ht="16.5" customHeight="1" outlineLevel="1">
      <c r="A33" s="1"/>
      <c r="B33" s="130"/>
      <c r="C33" s="131"/>
      <c r="D33" s="222"/>
      <c r="E33" s="35"/>
      <c r="F33" s="131"/>
      <c r="G33" s="201"/>
      <c r="H33" s="33"/>
      <c r="I33" s="228"/>
      <c r="J33" s="131"/>
      <c r="K33" s="33"/>
      <c r="L33" s="228"/>
      <c r="M33" s="131"/>
      <c r="N33" s="229"/>
      <c r="O33" s="131"/>
      <c r="P33" s="34"/>
      <c r="Q33" s="35"/>
      <c r="R33" s="131"/>
      <c r="S33" s="90"/>
      <c r="T33" s="1"/>
      <c r="U33" s="37">
        <v>0.0</v>
      </c>
      <c r="V33" s="42"/>
      <c r="W33" s="43"/>
      <c r="X33" s="105"/>
      <c r="Y33" s="38"/>
      <c r="Z33" s="41"/>
      <c r="AA33" s="219"/>
      <c r="AB33" s="206" t="str">
        <f t="shared" si="1"/>
        <v/>
      </c>
      <c r="AC33" s="211"/>
      <c r="AD33" s="205"/>
    </row>
    <row r="34" ht="16.5" customHeight="1" outlineLevel="1">
      <c r="A34" s="1"/>
      <c r="B34" s="134"/>
      <c r="C34" s="105"/>
      <c r="D34" s="225"/>
      <c r="E34" s="43"/>
      <c r="F34" s="105"/>
      <c r="G34" s="39"/>
      <c r="H34" s="40"/>
      <c r="I34" s="230"/>
      <c r="J34" s="105"/>
      <c r="K34" s="40"/>
      <c r="L34" s="230"/>
      <c r="M34" s="105"/>
      <c r="N34" s="231"/>
      <c r="O34" s="105"/>
      <c r="P34" s="121"/>
      <c r="Q34" s="43"/>
      <c r="R34" s="105"/>
      <c r="S34" s="93"/>
      <c r="T34" s="1"/>
      <c r="U34" s="37">
        <v>0.0</v>
      </c>
      <c r="V34" s="42"/>
      <c r="W34" s="43"/>
      <c r="X34" s="105"/>
      <c r="Y34" s="38"/>
      <c r="Z34" s="41"/>
      <c r="AA34" s="135"/>
      <c r="AB34" s="206" t="str">
        <f t="shared" si="1"/>
        <v/>
      </c>
      <c r="AC34" s="211"/>
      <c r="AD34" s="205"/>
    </row>
    <row r="35" ht="16.5" customHeight="1" outlineLevel="1">
      <c r="A35" s="1"/>
      <c r="B35" s="134"/>
      <c r="C35" s="105"/>
      <c r="D35" s="225"/>
      <c r="E35" s="43"/>
      <c r="F35" s="105"/>
      <c r="G35" s="39"/>
      <c r="H35" s="40"/>
      <c r="I35" s="230"/>
      <c r="J35" s="105"/>
      <c r="K35" s="40"/>
      <c r="L35" s="230"/>
      <c r="M35" s="105"/>
      <c r="N35" s="231"/>
      <c r="O35" s="105"/>
      <c r="P35" s="121"/>
      <c r="Q35" s="43"/>
      <c r="R35" s="105"/>
      <c r="S35" s="93"/>
      <c r="T35" s="1"/>
      <c r="U35" s="45">
        <v>0.0</v>
      </c>
      <c r="V35" s="49"/>
      <c r="W35" s="50"/>
      <c r="X35" s="141"/>
      <c r="Y35" s="46"/>
      <c r="Z35" s="48"/>
      <c r="AA35" s="232"/>
      <c r="AB35" s="233" t="str">
        <f t="shared" si="1"/>
        <v/>
      </c>
      <c r="AC35" s="234"/>
      <c r="AD35" s="205"/>
    </row>
    <row r="36" ht="16.5" customHeight="1" outlineLevel="1">
      <c r="A36" s="1"/>
      <c r="B36" s="151"/>
      <c r="C36" s="141"/>
      <c r="D36" s="235"/>
      <c r="E36" s="50"/>
      <c r="F36" s="141"/>
      <c r="G36" s="183"/>
      <c r="H36" s="47"/>
      <c r="I36" s="236"/>
      <c r="J36" s="141"/>
      <c r="K36" s="47"/>
      <c r="L36" s="236"/>
      <c r="M36" s="141"/>
      <c r="N36" s="237"/>
      <c r="O36" s="141"/>
      <c r="P36" s="144"/>
      <c r="Q36" s="50"/>
      <c r="R36" s="141"/>
      <c r="S36" s="97"/>
      <c r="T36" s="1"/>
      <c r="U36" s="95">
        <f>SUM(U7:U35)</f>
        <v>0</v>
      </c>
      <c r="V36" s="1"/>
      <c r="W36" s="1"/>
      <c r="X36" s="1"/>
      <c r="Y36" s="1"/>
      <c r="Z36" s="62" t="s">
        <v>34</v>
      </c>
      <c r="AA36" s="238" t="str">
        <f>SUMPRODUCT(U7:U35,AB7:AB35)&amp;""</f>
        <v>0</v>
      </c>
      <c r="AB36" s="9"/>
      <c r="AC36" s="239">
        <f>SUMPRODUCT(U7:U35,AC7:AC35)</f>
        <v>0</v>
      </c>
      <c r="AD36" s="1"/>
    </row>
    <row r="37" ht="49.5" customHeight="1">
      <c r="A37" s="1"/>
      <c r="B37" s="3" t="str">
        <f>IF(C38="","VEHICLE 2",UPPER(C38))</f>
        <v>VEHICLE 2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1"/>
    </row>
    <row r="38" ht="16.5" customHeight="1" collapsed="1">
      <c r="A38" s="1"/>
      <c r="B38" s="62" t="s">
        <v>260</v>
      </c>
      <c r="C38" s="8"/>
      <c r="D38" s="15"/>
      <c r="E38" s="15"/>
      <c r="F38" s="15"/>
      <c r="G38" s="15"/>
      <c r="H38" s="15"/>
      <c r="I38" s="9"/>
      <c r="J38" s="1"/>
      <c r="K38" s="1"/>
      <c r="L38" s="1"/>
      <c r="M38" s="1"/>
      <c r="N38" s="1"/>
      <c r="O38" s="1"/>
      <c r="P38" s="1"/>
      <c r="Q38" s="1"/>
      <c r="R38" s="1"/>
      <c r="S38" s="62" t="s">
        <v>261</v>
      </c>
      <c r="V38" s="188">
        <f>VALUE(AA71)</f>
        <v>0</v>
      </c>
      <c r="W38" s="189" t="s">
        <v>262</v>
      </c>
      <c r="X38" s="190" t="str">
        <f>IF(C47="","--",C47)</f>
        <v>--</v>
      </c>
      <c r="Y38" s="1"/>
      <c r="Z38" s="1"/>
      <c r="AA38" s="1"/>
      <c r="AB38" s="1"/>
      <c r="AC38" s="1"/>
      <c r="AD38" s="1"/>
    </row>
    <row r="39" ht="16.5" hidden="1" customHeight="1" outlineLevel="1">
      <c r="A39" s="1"/>
      <c r="B39" s="62" t="s">
        <v>231</v>
      </c>
      <c r="C39" s="191"/>
      <c r="D39" s="15"/>
      <c r="E39" s="9"/>
      <c r="F39" s="62" t="s">
        <v>230</v>
      </c>
      <c r="H39" s="11"/>
      <c r="I39" s="9"/>
      <c r="J39" s="1"/>
      <c r="K39" s="80" t="s">
        <v>214</v>
      </c>
      <c r="P39" s="1"/>
      <c r="Q39" s="80" t="s">
        <v>263</v>
      </c>
      <c r="T39" s="1"/>
      <c r="U39" s="80" t="s">
        <v>264</v>
      </c>
      <c r="AD39" s="1"/>
    </row>
    <row r="40" ht="16.5" hidden="1" customHeight="1" outlineLevel="1">
      <c r="A40" s="1"/>
      <c r="B40" s="1"/>
      <c r="C40" s="1"/>
      <c r="D40" s="1"/>
      <c r="E40" s="1"/>
      <c r="F40" s="1"/>
      <c r="G40" s="1"/>
      <c r="H40" s="1"/>
      <c r="I40" s="1"/>
      <c r="J40" s="1"/>
      <c r="K40" s="4"/>
      <c r="L40" s="4"/>
      <c r="M40" s="4"/>
      <c r="N40" s="4"/>
      <c r="O40" s="4"/>
      <c r="P40" s="1"/>
      <c r="Q40" s="4"/>
      <c r="R40" s="4"/>
      <c r="S40" s="4"/>
      <c r="T40" s="1"/>
      <c r="U40" s="4"/>
      <c r="V40" s="4"/>
      <c r="W40" s="4"/>
      <c r="X40" s="4"/>
      <c r="Y40" s="4"/>
      <c r="Z40" s="4"/>
      <c r="AA40" s="4"/>
      <c r="AB40" s="4"/>
      <c r="AC40" s="4"/>
      <c r="AD40" s="1"/>
    </row>
    <row r="41" ht="16.5" hidden="1" customHeight="1" outlineLevel="1">
      <c r="A41" s="1"/>
      <c r="B41" s="62" t="s">
        <v>50</v>
      </c>
      <c r="C41" s="8"/>
      <c r="D41" s="15"/>
      <c r="E41" s="15"/>
      <c r="F41" s="9"/>
      <c r="G41" s="62" t="s">
        <v>265</v>
      </c>
      <c r="H41" s="192"/>
      <c r="I41" s="79"/>
      <c r="J41" s="1"/>
      <c r="K41" s="1"/>
      <c r="L41" s="1"/>
      <c r="M41" s="6" t="s">
        <v>66</v>
      </c>
      <c r="O41" s="6" t="s">
        <v>34</v>
      </c>
      <c r="P41" s="1"/>
      <c r="Q41" s="193"/>
      <c r="R41" s="194"/>
      <c r="S41" s="25"/>
      <c r="T41" s="1"/>
      <c r="U41" s="6" t="s">
        <v>244</v>
      </c>
      <c r="V41" s="6" t="s">
        <v>245</v>
      </c>
      <c r="Y41" s="6" t="s">
        <v>54</v>
      </c>
      <c r="Z41" s="6" t="s">
        <v>230</v>
      </c>
      <c r="AA41" s="6" t="s">
        <v>246</v>
      </c>
      <c r="AB41" s="6" t="s">
        <v>266</v>
      </c>
      <c r="AC41" s="6" t="s">
        <v>231</v>
      </c>
      <c r="AD41" s="1"/>
    </row>
    <row r="42" ht="16.5" hidden="1" customHeight="1" outlineLevel="1">
      <c r="A42" s="1"/>
      <c r="B42" s="62" t="s">
        <v>296</v>
      </c>
      <c r="H42" s="195" t="str">
        <f>IF(C41="","--",IFERROR(VLOOKUP(C41,T_VSk,2,FALSE),"?")+DexDM+H41)</f>
        <v>--</v>
      </c>
      <c r="I42" s="156"/>
      <c r="J42" s="1"/>
      <c r="K42" s="62" t="s">
        <v>268</v>
      </c>
      <c r="M42" s="11"/>
      <c r="N42" s="16"/>
      <c r="O42" s="196"/>
      <c r="P42" s="1"/>
      <c r="Q42" s="197"/>
      <c r="R42" s="198"/>
      <c r="S42" s="199"/>
      <c r="T42" s="1"/>
      <c r="U42" s="31">
        <v>0.0</v>
      </c>
      <c r="V42" s="200"/>
      <c r="W42" s="35"/>
      <c r="X42" s="131"/>
      <c r="Y42" s="201"/>
      <c r="Z42" s="202"/>
      <c r="AA42" s="132"/>
      <c r="AB42" s="203" t="str">
        <f t="shared" ref="AB42:AB70" si="2">IFS(AA42="",,ISNUMBER(AA42),AA42&amp;"",RIGHT(AA42,2)="kg",LEFT(AA42,LEN(AA42)-2)*0.001&amp;"",RIGHT(AA42,3)="kgs",LEFT(AA42,LEN(AA42)-3)*0.001&amp;"",RIGHT(AA42,3)="ton",VALUE(LEFT(AA42,LEN(AA42)-3))&amp;"",RIGHT(AA42,4)="tons",VALUE(LEFT(AA42,LEN(AA42)-4))&amp;"",AND(RIGHT(AA42,1)="t",NOT(ISERROR(VALUE(LEFT(AA42,LEN(AA42)-1))))),VALUE(LEFT(AA42,LEN(AA42)-1))&amp;"",TRUE,"?")</f>
        <v/>
      </c>
      <c r="AC42" s="204"/>
      <c r="AD42" s="1"/>
    </row>
    <row r="43" ht="16.5" hidden="1" customHeight="1" outlineLevel="1">
      <c r="A43" s="1"/>
      <c r="B43" s="1"/>
      <c r="C43" s="1"/>
      <c r="D43" s="1"/>
      <c r="E43" s="1"/>
      <c r="F43" s="1"/>
      <c r="G43" s="1"/>
      <c r="H43" s="1"/>
      <c r="I43" s="1"/>
      <c r="J43" s="1"/>
      <c r="K43" s="62" t="s">
        <v>270</v>
      </c>
      <c r="M43" s="11"/>
      <c r="N43" s="16"/>
      <c r="O43" s="196"/>
      <c r="P43" s="1"/>
      <c r="Q43" s="197"/>
      <c r="R43" s="198"/>
      <c r="S43" s="199"/>
      <c r="T43" s="1"/>
      <c r="U43" s="37">
        <v>0.0</v>
      </c>
      <c r="V43" s="42"/>
      <c r="W43" s="43"/>
      <c r="X43" s="105"/>
      <c r="Y43" s="38"/>
      <c r="Z43" s="41"/>
      <c r="AA43" s="135"/>
      <c r="AB43" s="206" t="str">
        <f t="shared" si="2"/>
        <v/>
      </c>
      <c r="AC43" s="207"/>
      <c r="AD43" s="1"/>
    </row>
    <row r="44" ht="16.5" hidden="1" customHeight="1" outlineLevel="1">
      <c r="A44" s="1"/>
      <c r="B44" s="62" t="s">
        <v>271</v>
      </c>
      <c r="C44" s="130"/>
      <c r="D44" s="36"/>
      <c r="E44" s="62" t="s">
        <v>272</v>
      </c>
      <c r="H44" s="208"/>
      <c r="I44" s="36"/>
      <c r="J44" s="1"/>
      <c r="K44" s="62" t="s">
        <v>273</v>
      </c>
      <c r="M44" s="11"/>
      <c r="N44" s="16"/>
      <c r="O44" s="196"/>
      <c r="P44" s="1"/>
      <c r="Q44" s="197"/>
      <c r="R44" s="198"/>
      <c r="S44" s="199"/>
      <c r="T44" s="1"/>
      <c r="U44" s="37">
        <v>0.0</v>
      </c>
      <c r="V44" s="121"/>
      <c r="W44" s="43"/>
      <c r="X44" s="105"/>
      <c r="Y44" s="38"/>
      <c r="Z44" s="41"/>
      <c r="AA44" s="135"/>
      <c r="AB44" s="206" t="str">
        <f t="shared" si="2"/>
        <v/>
      </c>
      <c r="AC44" s="207"/>
      <c r="AD44" s="1"/>
    </row>
    <row r="45" ht="16.5" hidden="1" customHeight="1" outlineLevel="1">
      <c r="A45" s="1"/>
      <c r="B45" s="62" t="s">
        <v>274</v>
      </c>
      <c r="C45" s="209" t="str">
        <f t="array" ref="C45">IFERROR(INDEX(T_VSpB_N,MAX(MATCH(C44,T_VSpB_N,0)-1,1),1),"--")</f>
        <v>--</v>
      </c>
      <c r="D45" s="51"/>
      <c r="E45" s="62" t="s">
        <v>275</v>
      </c>
      <c r="H45" s="210" t="str">
        <f>IF(H44="","--",H44*1.5)</f>
        <v>--</v>
      </c>
      <c r="I45" s="51"/>
      <c r="J45" s="1"/>
      <c r="K45" s="80" t="s">
        <v>276</v>
      </c>
      <c r="P45" s="1"/>
      <c r="Q45" s="197"/>
      <c r="R45" s="198"/>
      <c r="S45" s="199"/>
      <c r="T45" s="1"/>
      <c r="U45" s="37">
        <v>0.0</v>
      </c>
      <c r="V45" s="42"/>
      <c r="W45" s="43"/>
      <c r="X45" s="105"/>
      <c r="Y45" s="38"/>
      <c r="Z45" s="41"/>
      <c r="AA45" s="135"/>
      <c r="AB45" s="206" t="str">
        <f t="shared" si="2"/>
        <v/>
      </c>
      <c r="AC45" s="211"/>
      <c r="AD45" s="1"/>
    </row>
    <row r="46" ht="16.5" hidden="1" customHeight="1" outlineLevel="1">
      <c r="A46" s="1"/>
      <c r="B46" s="1"/>
      <c r="C46" s="1"/>
      <c r="D46" s="1"/>
      <c r="E46" s="1"/>
      <c r="F46" s="1"/>
      <c r="G46" s="1"/>
      <c r="H46" s="1"/>
      <c r="I46" s="1"/>
      <c r="J46" s="1"/>
      <c r="K46" s="4"/>
      <c r="L46" s="4"/>
      <c r="M46" s="4"/>
      <c r="N46" s="4"/>
      <c r="O46" s="4"/>
      <c r="P46" s="1"/>
      <c r="Q46" s="197"/>
      <c r="R46" s="198"/>
      <c r="S46" s="199"/>
      <c r="T46" s="1"/>
      <c r="U46" s="37">
        <v>0.0</v>
      </c>
      <c r="V46" s="42"/>
      <c r="W46" s="43"/>
      <c r="X46" s="105"/>
      <c r="Y46" s="38"/>
      <c r="Z46" s="41"/>
      <c r="AA46" s="135"/>
      <c r="AB46" s="206" t="str">
        <f t="shared" si="2"/>
        <v/>
      </c>
      <c r="AC46" s="211"/>
      <c r="AD46" s="1"/>
    </row>
    <row r="47" ht="16.5" hidden="1" customHeight="1" outlineLevel="1">
      <c r="A47" s="1"/>
      <c r="B47" s="62" t="s">
        <v>277</v>
      </c>
      <c r="C47" s="212"/>
      <c r="D47" s="9"/>
      <c r="E47" s="62" t="s">
        <v>278</v>
      </c>
      <c r="H47" s="11"/>
      <c r="I47" s="9"/>
      <c r="J47" s="1"/>
      <c r="K47" s="1"/>
      <c r="L47" s="1"/>
      <c r="M47" s="6" t="s">
        <v>66</v>
      </c>
      <c r="O47" s="6" t="s">
        <v>34</v>
      </c>
      <c r="P47" s="1"/>
      <c r="Q47" s="197"/>
      <c r="R47" s="198"/>
      <c r="S47" s="199"/>
      <c r="T47" s="1"/>
      <c r="U47" s="37">
        <v>0.0</v>
      </c>
      <c r="V47" s="42"/>
      <c r="W47" s="43"/>
      <c r="X47" s="105"/>
      <c r="Y47" s="38"/>
      <c r="Z47" s="41"/>
      <c r="AA47" s="135"/>
      <c r="AB47" s="206" t="str">
        <f t="shared" si="2"/>
        <v/>
      </c>
      <c r="AC47" s="211"/>
      <c r="AD47" s="1"/>
    </row>
    <row r="48" ht="16.5" hidden="1" customHeight="1" outlineLevel="1">
      <c r="A48" s="1"/>
      <c r="B48" s="62" t="s">
        <v>279</v>
      </c>
      <c r="C48" s="212"/>
      <c r="D48" s="9"/>
      <c r="E48" s="62" t="s">
        <v>280</v>
      </c>
      <c r="H48" s="11"/>
      <c r="I48" s="9"/>
      <c r="J48" s="1"/>
      <c r="K48" s="62" t="s">
        <v>281</v>
      </c>
      <c r="M48" s="11"/>
      <c r="N48" s="16"/>
      <c r="O48" s="196"/>
      <c r="P48" s="1"/>
      <c r="Q48" s="213"/>
      <c r="R48" s="214"/>
      <c r="S48" s="30"/>
      <c r="T48" s="1"/>
      <c r="U48" s="37">
        <v>0.0</v>
      </c>
      <c r="V48" s="42"/>
      <c r="W48" s="43"/>
      <c r="X48" s="105"/>
      <c r="Y48" s="38"/>
      <c r="Z48" s="41"/>
      <c r="AA48" s="135"/>
      <c r="AB48" s="206" t="str">
        <f t="shared" si="2"/>
        <v/>
      </c>
      <c r="AC48" s="211"/>
      <c r="AD48" s="1"/>
    </row>
    <row r="49" ht="16.5" hidden="1" customHeight="1" outlineLevel="1">
      <c r="A49" s="1"/>
      <c r="B49" s="80" t="s">
        <v>282</v>
      </c>
      <c r="N49" s="1"/>
      <c r="O49" s="80" t="s">
        <v>283</v>
      </c>
      <c r="T49" s="1"/>
      <c r="U49" s="37">
        <v>0.0</v>
      </c>
      <c r="V49" s="42"/>
      <c r="W49" s="43"/>
      <c r="X49" s="105"/>
      <c r="Y49" s="38"/>
      <c r="Z49" s="41"/>
      <c r="AA49" s="135"/>
      <c r="AB49" s="206" t="str">
        <f t="shared" si="2"/>
        <v/>
      </c>
      <c r="AC49" s="211"/>
      <c r="AD49" s="1"/>
    </row>
    <row r="50" ht="16.5" hidden="1" customHeight="1" outlineLevel="1">
      <c r="A50" s="1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1"/>
      <c r="O50" s="4"/>
      <c r="P50" s="4"/>
      <c r="Q50" s="4"/>
      <c r="R50" s="4"/>
      <c r="S50" s="4"/>
      <c r="T50" s="1"/>
      <c r="U50" s="37">
        <v>0.0</v>
      </c>
      <c r="V50" s="42"/>
      <c r="W50" s="43"/>
      <c r="X50" s="105"/>
      <c r="Y50" s="38"/>
      <c r="Z50" s="41"/>
      <c r="AA50" s="135"/>
      <c r="AB50" s="206" t="str">
        <f t="shared" si="2"/>
        <v/>
      </c>
      <c r="AC50" s="211"/>
      <c r="AD50" s="1"/>
    </row>
    <row r="51" ht="16.5" hidden="1" customHeight="1" outlineLevel="1">
      <c r="A51" s="1"/>
      <c r="B51" s="81"/>
      <c r="C51" s="22"/>
      <c r="D51" s="22"/>
      <c r="E51" s="23"/>
      <c r="F51" s="82"/>
      <c r="G51" s="22"/>
      <c r="H51" s="22"/>
      <c r="I51" s="22"/>
      <c r="J51" s="22"/>
      <c r="K51" s="22"/>
      <c r="L51" s="22"/>
      <c r="M51" s="25"/>
      <c r="N51" s="1"/>
      <c r="O51" s="62" t="s">
        <v>284</v>
      </c>
      <c r="S51" s="13"/>
      <c r="T51" s="1"/>
      <c r="U51" s="37">
        <v>0.0</v>
      </c>
      <c r="V51" s="42"/>
      <c r="W51" s="43"/>
      <c r="X51" s="105"/>
      <c r="Y51" s="38"/>
      <c r="Z51" s="41"/>
      <c r="AA51" s="135"/>
      <c r="AB51" s="206" t="str">
        <f t="shared" si="2"/>
        <v/>
      </c>
      <c r="AC51" s="211"/>
      <c r="AD51" s="1"/>
    </row>
    <row r="52" ht="16.5" hidden="1" customHeight="1" outlineLevel="1">
      <c r="A52" s="1"/>
      <c r="B52" s="215"/>
      <c r="C52" s="216"/>
      <c r="D52" s="216"/>
      <c r="E52" s="217"/>
      <c r="F52" s="218"/>
      <c r="G52" s="216"/>
      <c r="H52" s="216"/>
      <c r="I52" s="216"/>
      <c r="J52" s="216"/>
      <c r="K52" s="216"/>
      <c r="L52" s="216"/>
      <c r="M52" s="199"/>
      <c r="N52" s="1"/>
      <c r="O52" s="62" t="s">
        <v>285</v>
      </c>
      <c r="S52" s="13"/>
      <c r="T52" s="1"/>
      <c r="U52" s="37">
        <v>0.0</v>
      </c>
      <c r="V52" s="42"/>
      <c r="W52" s="43"/>
      <c r="X52" s="105"/>
      <c r="Y52" s="38"/>
      <c r="Z52" s="41"/>
      <c r="AA52" s="135"/>
      <c r="AB52" s="206" t="str">
        <f t="shared" si="2"/>
        <v/>
      </c>
      <c r="AC52" s="211"/>
      <c r="AD52" s="1"/>
    </row>
    <row r="53" ht="16.5" hidden="1" customHeight="1" outlineLevel="1">
      <c r="A53" s="1"/>
      <c r="B53" s="215"/>
      <c r="C53" s="216"/>
      <c r="D53" s="216"/>
      <c r="E53" s="217"/>
      <c r="F53" s="218"/>
      <c r="G53" s="216"/>
      <c r="H53" s="216"/>
      <c r="I53" s="216"/>
      <c r="J53" s="216"/>
      <c r="K53" s="216"/>
      <c r="L53" s="216"/>
      <c r="M53" s="199"/>
      <c r="N53" s="1"/>
      <c r="O53" s="62" t="s">
        <v>286</v>
      </c>
      <c r="S53" s="13"/>
      <c r="T53" s="1"/>
      <c r="U53" s="37">
        <v>0.0</v>
      </c>
      <c r="V53" s="42"/>
      <c r="W53" s="43"/>
      <c r="X53" s="105"/>
      <c r="Y53" s="38"/>
      <c r="Z53" s="41"/>
      <c r="AA53" s="219"/>
      <c r="AB53" s="206" t="str">
        <f t="shared" si="2"/>
        <v/>
      </c>
      <c r="AC53" s="211"/>
      <c r="AD53" s="1"/>
    </row>
    <row r="54" ht="16.5" hidden="1" customHeight="1" outlineLevel="1">
      <c r="A54" s="1"/>
      <c r="B54" s="215"/>
      <c r="C54" s="216"/>
      <c r="D54" s="216"/>
      <c r="E54" s="217"/>
      <c r="F54" s="218"/>
      <c r="G54" s="216"/>
      <c r="H54" s="216"/>
      <c r="I54" s="216"/>
      <c r="J54" s="216"/>
      <c r="K54" s="216"/>
      <c r="L54" s="216"/>
      <c r="M54" s="199"/>
      <c r="N54" s="1"/>
      <c r="O54" s="62" t="s">
        <v>287</v>
      </c>
      <c r="S54" s="13"/>
      <c r="T54" s="1"/>
      <c r="U54" s="37">
        <v>0.0</v>
      </c>
      <c r="V54" s="42"/>
      <c r="W54" s="43"/>
      <c r="X54" s="105"/>
      <c r="Y54" s="38"/>
      <c r="Z54" s="41"/>
      <c r="AA54" s="135"/>
      <c r="AB54" s="206" t="str">
        <f t="shared" si="2"/>
        <v/>
      </c>
      <c r="AC54" s="211"/>
      <c r="AD54" s="1"/>
    </row>
    <row r="55" ht="16.5" hidden="1" customHeight="1" outlineLevel="1">
      <c r="A55" s="1"/>
      <c r="B55" s="215"/>
      <c r="C55" s="216"/>
      <c r="D55" s="216"/>
      <c r="E55" s="217"/>
      <c r="F55" s="218"/>
      <c r="G55" s="216"/>
      <c r="H55" s="216"/>
      <c r="I55" s="216"/>
      <c r="J55" s="216"/>
      <c r="K55" s="216"/>
      <c r="L55" s="216"/>
      <c r="M55" s="199"/>
      <c r="N55" s="1"/>
      <c r="O55" s="62" t="s">
        <v>288</v>
      </c>
      <c r="S55" s="13"/>
      <c r="T55" s="1"/>
      <c r="U55" s="37">
        <v>0.0</v>
      </c>
      <c r="V55" s="42"/>
      <c r="W55" s="43"/>
      <c r="X55" s="105"/>
      <c r="Y55" s="38"/>
      <c r="Z55" s="41"/>
      <c r="AA55" s="219"/>
      <c r="AB55" s="206" t="str">
        <f t="shared" si="2"/>
        <v/>
      </c>
      <c r="AC55" s="211"/>
      <c r="AD55" s="1"/>
    </row>
    <row r="56" ht="16.5" hidden="1" customHeight="1" outlineLevel="1">
      <c r="A56" s="1"/>
      <c r="B56" s="215"/>
      <c r="C56" s="216"/>
      <c r="D56" s="216"/>
      <c r="E56" s="217"/>
      <c r="F56" s="218"/>
      <c r="G56" s="216"/>
      <c r="H56" s="216"/>
      <c r="I56" s="216"/>
      <c r="J56" s="216"/>
      <c r="K56" s="216"/>
      <c r="L56" s="216"/>
      <c r="M56" s="199"/>
      <c r="N56" s="1"/>
      <c r="O56" s="62" t="s">
        <v>289</v>
      </c>
      <c r="S56" s="13"/>
      <c r="T56" s="1"/>
      <c r="U56" s="37">
        <v>0.0</v>
      </c>
      <c r="V56" s="42"/>
      <c r="W56" s="43"/>
      <c r="X56" s="105"/>
      <c r="Y56" s="38"/>
      <c r="Z56" s="41"/>
      <c r="AA56" s="219"/>
      <c r="AB56" s="206" t="str">
        <f t="shared" si="2"/>
        <v/>
      </c>
      <c r="AC56" s="211"/>
      <c r="AD56" s="1"/>
    </row>
    <row r="57" ht="16.5" hidden="1" customHeight="1" outlineLevel="1">
      <c r="A57" s="1"/>
      <c r="B57" s="220"/>
      <c r="C57" s="216"/>
      <c r="D57" s="216"/>
      <c r="E57" s="217"/>
      <c r="F57" s="198"/>
      <c r="G57" s="216"/>
      <c r="H57" s="216"/>
      <c r="I57" s="216"/>
      <c r="J57" s="216"/>
      <c r="K57" s="216"/>
      <c r="L57" s="216"/>
      <c r="M57" s="199"/>
      <c r="N57" s="1"/>
      <c r="O57" s="80" t="s">
        <v>290</v>
      </c>
      <c r="T57" s="1"/>
      <c r="U57" s="37">
        <v>0.0</v>
      </c>
      <c r="V57" s="42"/>
      <c r="W57" s="43"/>
      <c r="X57" s="105"/>
      <c r="Y57" s="38"/>
      <c r="Z57" s="41"/>
      <c r="AA57" s="219"/>
      <c r="AB57" s="206" t="str">
        <f t="shared" si="2"/>
        <v/>
      </c>
      <c r="AC57" s="211"/>
      <c r="AD57" s="1"/>
    </row>
    <row r="58" ht="16.5" hidden="1" customHeight="1" outlineLevel="1">
      <c r="A58" s="1"/>
      <c r="B58" s="215"/>
      <c r="C58" s="216"/>
      <c r="D58" s="216"/>
      <c r="E58" s="217"/>
      <c r="F58" s="218"/>
      <c r="G58" s="216"/>
      <c r="H58" s="216"/>
      <c r="I58" s="216"/>
      <c r="J58" s="216"/>
      <c r="K58" s="216"/>
      <c r="L58" s="216"/>
      <c r="M58" s="199"/>
      <c r="N58" s="1"/>
      <c r="O58" s="4"/>
      <c r="P58" s="4"/>
      <c r="Q58" s="4"/>
      <c r="R58" s="4"/>
      <c r="S58" s="4"/>
      <c r="T58" s="1"/>
      <c r="U58" s="37">
        <v>0.0</v>
      </c>
      <c r="V58" s="42"/>
      <c r="W58" s="43"/>
      <c r="X58" s="105"/>
      <c r="Y58" s="38"/>
      <c r="Z58" s="41"/>
      <c r="AA58" s="219"/>
      <c r="AB58" s="206" t="str">
        <f t="shared" si="2"/>
        <v/>
      </c>
      <c r="AC58" s="211"/>
      <c r="AD58" s="1"/>
    </row>
    <row r="59" ht="16.5" hidden="1" customHeight="1" outlineLevel="1">
      <c r="A59" s="1"/>
      <c r="B59" s="215"/>
      <c r="C59" s="216"/>
      <c r="D59" s="216"/>
      <c r="E59" s="217"/>
      <c r="F59" s="218"/>
      <c r="G59" s="216"/>
      <c r="H59" s="216"/>
      <c r="I59" s="216"/>
      <c r="J59" s="216"/>
      <c r="K59" s="216"/>
      <c r="L59" s="216"/>
      <c r="M59" s="199"/>
      <c r="N59" s="1"/>
      <c r="O59" s="6" t="s">
        <v>291</v>
      </c>
      <c r="Q59" s="6" t="s">
        <v>292</v>
      </c>
      <c r="T59" s="1"/>
      <c r="U59" s="37">
        <v>0.0</v>
      </c>
      <c r="V59" s="42"/>
      <c r="W59" s="43"/>
      <c r="X59" s="105"/>
      <c r="Y59" s="38"/>
      <c r="Z59" s="41"/>
      <c r="AA59" s="219"/>
      <c r="AB59" s="206" t="str">
        <f t="shared" si="2"/>
        <v/>
      </c>
      <c r="AC59" s="211"/>
      <c r="AD59" s="1"/>
    </row>
    <row r="60" ht="16.5" hidden="1" customHeight="1" outlineLevel="1">
      <c r="A60" s="1"/>
      <c r="B60" s="215"/>
      <c r="C60" s="216"/>
      <c r="D60" s="216"/>
      <c r="E60" s="217"/>
      <c r="F60" s="218"/>
      <c r="G60" s="216"/>
      <c r="H60" s="216"/>
      <c r="I60" s="216"/>
      <c r="J60" s="216"/>
      <c r="K60" s="216"/>
      <c r="L60" s="216"/>
      <c r="M60" s="199"/>
      <c r="N60" s="1"/>
      <c r="O60" s="240"/>
      <c r="P60" s="131"/>
      <c r="Q60" s="241"/>
      <c r="R60" s="35"/>
      <c r="S60" s="36"/>
      <c r="T60" s="1"/>
      <c r="U60" s="37">
        <v>0.0</v>
      </c>
      <c r="V60" s="42"/>
      <c r="W60" s="43"/>
      <c r="X60" s="105"/>
      <c r="Y60" s="38"/>
      <c r="Z60" s="41"/>
      <c r="AA60" s="219"/>
      <c r="AB60" s="206" t="str">
        <f t="shared" si="2"/>
        <v/>
      </c>
      <c r="AC60" s="211"/>
      <c r="AD60" s="1"/>
    </row>
    <row r="61" ht="16.5" hidden="1" customHeight="1" outlineLevel="1">
      <c r="A61" s="1"/>
      <c r="B61" s="215"/>
      <c r="C61" s="216"/>
      <c r="D61" s="216"/>
      <c r="E61" s="217"/>
      <c r="F61" s="218"/>
      <c r="G61" s="216"/>
      <c r="H61" s="216"/>
      <c r="I61" s="216"/>
      <c r="J61" s="216"/>
      <c r="K61" s="216"/>
      <c r="L61" s="216"/>
      <c r="M61" s="199"/>
      <c r="N61" s="1"/>
      <c r="O61" s="242"/>
      <c r="P61" s="105"/>
      <c r="Q61" s="224"/>
      <c r="R61" s="43"/>
      <c r="S61" s="44"/>
      <c r="T61" s="1"/>
      <c r="U61" s="37">
        <v>0.0</v>
      </c>
      <c r="V61" s="42"/>
      <c r="W61" s="43"/>
      <c r="X61" s="105"/>
      <c r="Y61" s="38"/>
      <c r="Z61" s="41"/>
      <c r="AA61" s="219"/>
      <c r="AB61" s="206" t="str">
        <f t="shared" si="2"/>
        <v/>
      </c>
      <c r="AC61" s="211"/>
      <c r="AD61" s="1"/>
    </row>
    <row r="62" ht="16.5" hidden="1" customHeight="1" outlineLevel="1">
      <c r="A62" s="1"/>
      <c r="B62" s="215"/>
      <c r="C62" s="216"/>
      <c r="D62" s="216"/>
      <c r="E62" s="217"/>
      <c r="F62" s="218"/>
      <c r="G62" s="216"/>
      <c r="H62" s="216"/>
      <c r="I62" s="216"/>
      <c r="J62" s="216"/>
      <c r="K62" s="216"/>
      <c r="L62" s="216"/>
      <c r="M62" s="199"/>
      <c r="N62" s="1"/>
      <c r="O62" s="242"/>
      <c r="P62" s="105"/>
      <c r="Q62" s="224"/>
      <c r="R62" s="43"/>
      <c r="S62" s="44"/>
      <c r="T62" s="1"/>
      <c r="U62" s="37">
        <v>0.0</v>
      </c>
      <c r="V62" s="42"/>
      <c r="W62" s="43"/>
      <c r="X62" s="105"/>
      <c r="Y62" s="38"/>
      <c r="Z62" s="41"/>
      <c r="AA62" s="219"/>
      <c r="AB62" s="206" t="str">
        <f t="shared" si="2"/>
        <v/>
      </c>
      <c r="AC62" s="211"/>
      <c r="AD62" s="1"/>
    </row>
    <row r="63" ht="16.5" hidden="1" customHeight="1" outlineLevel="1">
      <c r="A63" s="1"/>
      <c r="B63" s="215"/>
      <c r="C63" s="216"/>
      <c r="D63" s="216"/>
      <c r="E63" s="217"/>
      <c r="F63" s="218"/>
      <c r="G63" s="216"/>
      <c r="H63" s="216"/>
      <c r="I63" s="216"/>
      <c r="J63" s="216"/>
      <c r="K63" s="216"/>
      <c r="L63" s="216"/>
      <c r="M63" s="199"/>
      <c r="N63" s="1"/>
      <c r="O63" s="242"/>
      <c r="P63" s="105"/>
      <c r="Q63" s="224"/>
      <c r="R63" s="43"/>
      <c r="S63" s="44"/>
      <c r="T63" s="1"/>
      <c r="U63" s="37">
        <v>0.0</v>
      </c>
      <c r="V63" s="42"/>
      <c r="W63" s="43"/>
      <c r="X63" s="105"/>
      <c r="Y63" s="38"/>
      <c r="Z63" s="41"/>
      <c r="AA63" s="219"/>
      <c r="AB63" s="206" t="str">
        <f t="shared" si="2"/>
        <v/>
      </c>
      <c r="AC63" s="211"/>
      <c r="AD63" s="1"/>
    </row>
    <row r="64" ht="16.5" hidden="1" customHeight="1" outlineLevel="1">
      <c r="A64" s="1"/>
      <c r="B64" s="83"/>
      <c r="C64" s="27"/>
      <c r="D64" s="27"/>
      <c r="E64" s="28"/>
      <c r="F64" s="84"/>
      <c r="G64" s="27"/>
      <c r="H64" s="27"/>
      <c r="I64" s="27"/>
      <c r="J64" s="27"/>
      <c r="K64" s="27"/>
      <c r="L64" s="27"/>
      <c r="M64" s="30"/>
      <c r="N64" s="1"/>
      <c r="O64" s="243"/>
      <c r="P64" s="141"/>
      <c r="Q64" s="227"/>
      <c r="R64" s="50"/>
      <c r="S64" s="51"/>
      <c r="T64" s="1"/>
      <c r="U64" s="37">
        <v>0.0</v>
      </c>
      <c r="V64" s="42"/>
      <c r="W64" s="43"/>
      <c r="X64" s="105"/>
      <c r="Y64" s="38"/>
      <c r="Z64" s="41"/>
      <c r="AA64" s="219"/>
      <c r="AB64" s="206" t="str">
        <f t="shared" si="2"/>
        <v/>
      </c>
      <c r="AC64" s="211"/>
      <c r="AD64" s="1"/>
    </row>
    <row r="65" ht="16.5" hidden="1" customHeight="1" outlineLevel="1">
      <c r="A65" s="1"/>
      <c r="B65" s="80" t="s">
        <v>200</v>
      </c>
      <c r="T65" s="1"/>
      <c r="U65" s="37">
        <v>0.0</v>
      </c>
      <c r="V65" s="42"/>
      <c r="W65" s="43"/>
      <c r="X65" s="105"/>
      <c r="Y65" s="38"/>
      <c r="Z65" s="41"/>
      <c r="AA65" s="219"/>
      <c r="AB65" s="206" t="str">
        <f t="shared" si="2"/>
        <v/>
      </c>
      <c r="AC65" s="211"/>
      <c r="AD65" s="1"/>
    </row>
    <row r="66" ht="16.5" hidden="1" customHeight="1" outlineLevel="1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1"/>
      <c r="U66" s="37">
        <v>0.0</v>
      </c>
      <c r="V66" s="42"/>
      <c r="W66" s="43"/>
      <c r="X66" s="105"/>
      <c r="Y66" s="38"/>
      <c r="Z66" s="41"/>
      <c r="AA66" s="135"/>
      <c r="AB66" s="206" t="str">
        <f t="shared" si="2"/>
        <v/>
      </c>
      <c r="AC66" s="211"/>
      <c r="AD66" s="1"/>
    </row>
    <row r="67" ht="16.5" hidden="1" customHeight="1" outlineLevel="1">
      <c r="A67" s="1"/>
      <c r="B67" s="6" t="s">
        <v>202</v>
      </c>
      <c r="D67" s="6" t="s">
        <v>293</v>
      </c>
      <c r="G67" s="6" t="s">
        <v>13</v>
      </c>
      <c r="H67" s="6" t="s">
        <v>203</v>
      </c>
      <c r="I67" s="6" t="s">
        <v>206</v>
      </c>
      <c r="K67" s="6" t="s">
        <v>207</v>
      </c>
      <c r="N67" s="6" t="s">
        <v>294</v>
      </c>
      <c r="P67" s="6" t="s">
        <v>208</v>
      </c>
      <c r="S67" s="6" t="s">
        <v>295</v>
      </c>
      <c r="T67" s="1"/>
      <c r="U67" s="37">
        <v>0.0</v>
      </c>
      <c r="V67" s="42"/>
      <c r="W67" s="43"/>
      <c r="X67" s="105"/>
      <c r="Y67" s="38"/>
      <c r="Z67" s="41"/>
      <c r="AA67" s="219"/>
      <c r="AB67" s="206" t="str">
        <f t="shared" si="2"/>
        <v/>
      </c>
      <c r="AC67" s="211"/>
      <c r="AD67" s="1"/>
    </row>
    <row r="68" ht="16.5" hidden="1" customHeight="1" outlineLevel="1">
      <c r="A68" s="1"/>
      <c r="B68" s="130"/>
      <c r="C68" s="131"/>
      <c r="D68" s="241"/>
      <c r="E68" s="35"/>
      <c r="F68" s="131"/>
      <c r="G68" s="201"/>
      <c r="H68" s="33"/>
      <c r="I68" s="228"/>
      <c r="J68" s="131"/>
      <c r="K68" s="33"/>
      <c r="L68" s="228"/>
      <c r="M68" s="131"/>
      <c r="N68" s="229"/>
      <c r="O68" s="131"/>
      <c r="P68" s="34"/>
      <c r="Q68" s="35"/>
      <c r="R68" s="131"/>
      <c r="S68" s="90"/>
      <c r="T68" s="1"/>
      <c r="U68" s="37">
        <v>0.0</v>
      </c>
      <c r="V68" s="42"/>
      <c r="W68" s="43"/>
      <c r="X68" s="105"/>
      <c r="Y68" s="38"/>
      <c r="Z68" s="41"/>
      <c r="AA68" s="219"/>
      <c r="AB68" s="206" t="str">
        <f t="shared" si="2"/>
        <v/>
      </c>
      <c r="AC68" s="211"/>
      <c r="AD68" s="1"/>
    </row>
    <row r="69" ht="16.5" hidden="1" customHeight="1" outlineLevel="1">
      <c r="A69" s="1"/>
      <c r="B69" s="134"/>
      <c r="C69" s="105"/>
      <c r="D69" s="225"/>
      <c r="E69" s="43"/>
      <c r="F69" s="105"/>
      <c r="G69" s="39"/>
      <c r="H69" s="40"/>
      <c r="I69" s="230"/>
      <c r="J69" s="105"/>
      <c r="K69" s="40"/>
      <c r="L69" s="230"/>
      <c r="M69" s="105"/>
      <c r="N69" s="231"/>
      <c r="O69" s="105"/>
      <c r="P69" s="121"/>
      <c r="Q69" s="43"/>
      <c r="R69" s="105"/>
      <c r="S69" s="93"/>
      <c r="T69" s="1"/>
      <c r="U69" s="37">
        <v>0.0</v>
      </c>
      <c r="V69" s="42"/>
      <c r="W69" s="43"/>
      <c r="X69" s="105"/>
      <c r="Y69" s="38"/>
      <c r="Z69" s="41"/>
      <c r="AA69" s="219"/>
      <c r="AB69" s="206" t="str">
        <f t="shared" si="2"/>
        <v/>
      </c>
      <c r="AC69" s="211"/>
      <c r="AD69" s="1"/>
    </row>
    <row r="70" ht="16.5" hidden="1" customHeight="1" outlineLevel="1">
      <c r="A70" s="1"/>
      <c r="B70" s="134"/>
      <c r="C70" s="105"/>
      <c r="D70" s="225"/>
      <c r="E70" s="43"/>
      <c r="F70" s="105"/>
      <c r="G70" s="39"/>
      <c r="H70" s="40"/>
      <c r="I70" s="230"/>
      <c r="J70" s="105"/>
      <c r="K70" s="40"/>
      <c r="L70" s="230"/>
      <c r="M70" s="105"/>
      <c r="N70" s="231"/>
      <c r="O70" s="105"/>
      <c r="P70" s="121"/>
      <c r="Q70" s="43"/>
      <c r="R70" s="105"/>
      <c r="S70" s="93"/>
      <c r="T70" s="1"/>
      <c r="U70" s="45">
        <v>0.0</v>
      </c>
      <c r="V70" s="49"/>
      <c r="W70" s="50"/>
      <c r="X70" s="141"/>
      <c r="Y70" s="46"/>
      <c r="Z70" s="48"/>
      <c r="AA70" s="232"/>
      <c r="AB70" s="233" t="str">
        <f t="shared" si="2"/>
        <v/>
      </c>
      <c r="AC70" s="234"/>
      <c r="AD70" s="1"/>
    </row>
    <row r="71" ht="16.5" hidden="1" customHeight="1" outlineLevel="1">
      <c r="A71" s="1"/>
      <c r="B71" s="151"/>
      <c r="C71" s="141"/>
      <c r="D71" s="235"/>
      <c r="E71" s="50"/>
      <c r="F71" s="141"/>
      <c r="G71" s="183"/>
      <c r="H71" s="47"/>
      <c r="I71" s="236"/>
      <c r="J71" s="141"/>
      <c r="K71" s="47"/>
      <c r="L71" s="236"/>
      <c r="M71" s="141"/>
      <c r="N71" s="237"/>
      <c r="O71" s="141"/>
      <c r="P71" s="144"/>
      <c r="Q71" s="50"/>
      <c r="R71" s="141"/>
      <c r="S71" s="97"/>
      <c r="T71" s="1"/>
      <c r="U71" s="95">
        <f>SUM(U42:U70)</f>
        <v>0</v>
      </c>
      <c r="V71" s="1"/>
      <c r="W71" s="1"/>
      <c r="X71" s="1"/>
      <c r="Y71" s="1"/>
      <c r="Z71" s="62" t="s">
        <v>34</v>
      </c>
      <c r="AA71" s="238" t="str">
        <f>SUMPRODUCT(U42:U70,AB42:AB70)&amp;""</f>
        <v>0</v>
      </c>
      <c r="AB71" s="9"/>
      <c r="AC71" s="239">
        <f>SUMPRODUCT(U42:U70,AC42:AC70)</f>
        <v>0</v>
      </c>
      <c r="AD71" s="1"/>
    </row>
    <row r="72" ht="49.5" customHeight="1">
      <c r="A72" s="1"/>
      <c r="B72" s="3" t="str">
        <f>IF(C73="","VEHICLE 3",UPPER(C73))</f>
        <v>VEHICLE 3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1"/>
    </row>
    <row r="73" ht="16.5" customHeight="1" collapsed="1">
      <c r="A73" s="1"/>
      <c r="B73" s="62" t="s">
        <v>260</v>
      </c>
      <c r="C73" s="8"/>
      <c r="D73" s="15"/>
      <c r="E73" s="15"/>
      <c r="F73" s="15"/>
      <c r="G73" s="15"/>
      <c r="H73" s="15"/>
      <c r="I73" s="9"/>
      <c r="J73" s="1"/>
      <c r="K73" s="1"/>
      <c r="L73" s="1"/>
      <c r="M73" s="1"/>
      <c r="N73" s="1"/>
      <c r="O73" s="1"/>
      <c r="P73" s="1"/>
      <c r="Q73" s="1"/>
      <c r="R73" s="1"/>
      <c r="S73" s="62" t="s">
        <v>261</v>
      </c>
      <c r="V73" s="188">
        <f>VALUE(AA106)</f>
        <v>0</v>
      </c>
      <c r="W73" s="189" t="s">
        <v>262</v>
      </c>
      <c r="X73" s="190" t="str">
        <f>IF(C82="","--",C82)</f>
        <v>--</v>
      </c>
      <c r="Y73" s="1"/>
      <c r="Z73" s="1"/>
      <c r="AA73" s="1"/>
      <c r="AB73" s="1"/>
      <c r="AC73" s="1"/>
      <c r="AD73" s="1"/>
    </row>
    <row r="74" ht="16.5" hidden="1" customHeight="1" outlineLevel="1">
      <c r="A74" s="1"/>
      <c r="B74" s="62" t="s">
        <v>231</v>
      </c>
      <c r="C74" s="191"/>
      <c r="D74" s="15"/>
      <c r="E74" s="9"/>
      <c r="F74" s="62" t="s">
        <v>230</v>
      </c>
      <c r="H74" s="11"/>
      <c r="I74" s="9"/>
      <c r="J74" s="1"/>
      <c r="K74" s="80" t="s">
        <v>214</v>
      </c>
      <c r="P74" s="1"/>
      <c r="Q74" s="80" t="s">
        <v>263</v>
      </c>
      <c r="T74" s="1"/>
      <c r="U74" s="80" t="s">
        <v>264</v>
      </c>
      <c r="AD74" s="1"/>
    </row>
    <row r="75" ht="16.5" hidden="1" customHeight="1" outlineLevel="1">
      <c r="A75" s="1"/>
      <c r="B75" s="1"/>
      <c r="C75" s="1"/>
      <c r="D75" s="1"/>
      <c r="E75" s="1"/>
      <c r="F75" s="1"/>
      <c r="G75" s="1"/>
      <c r="H75" s="1"/>
      <c r="I75" s="1"/>
      <c r="J75" s="1"/>
      <c r="K75" s="4"/>
      <c r="L75" s="4"/>
      <c r="M75" s="4"/>
      <c r="N75" s="4"/>
      <c r="O75" s="4"/>
      <c r="P75" s="1"/>
      <c r="Q75" s="4"/>
      <c r="R75" s="4"/>
      <c r="S75" s="4"/>
      <c r="T75" s="1"/>
      <c r="U75" s="4"/>
      <c r="V75" s="4"/>
      <c r="W75" s="4"/>
      <c r="X75" s="4"/>
      <c r="Y75" s="4"/>
      <c r="Z75" s="4"/>
      <c r="AA75" s="4"/>
      <c r="AB75" s="4"/>
      <c r="AC75" s="4"/>
      <c r="AD75" s="1"/>
    </row>
    <row r="76" ht="16.5" hidden="1" customHeight="1" outlineLevel="1">
      <c r="A76" s="1"/>
      <c r="B76" s="62" t="s">
        <v>50</v>
      </c>
      <c r="C76" s="8"/>
      <c r="D76" s="15"/>
      <c r="E76" s="15"/>
      <c r="F76" s="9"/>
      <c r="G76" s="62" t="s">
        <v>265</v>
      </c>
      <c r="H76" s="192"/>
      <c r="I76" s="79"/>
      <c r="J76" s="1"/>
      <c r="K76" s="1"/>
      <c r="L76" s="1"/>
      <c r="M76" s="6" t="s">
        <v>66</v>
      </c>
      <c r="O76" s="6" t="s">
        <v>34</v>
      </c>
      <c r="P76" s="1"/>
      <c r="Q76" s="193"/>
      <c r="R76" s="194"/>
      <c r="S76" s="25"/>
      <c r="T76" s="1"/>
      <c r="U76" s="6" t="s">
        <v>244</v>
      </c>
      <c r="V76" s="6" t="s">
        <v>245</v>
      </c>
      <c r="Y76" s="6" t="s">
        <v>54</v>
      </c>
      <c r="Z76" s="6" t="s">
        <v>230</v>
      </c>
      <c r="AA76" s="6" t="s">
        <v>246</v>
      </c>
      <c r="AB76" s="6" t="s">
        <v>266</v>
      </c>
      <c r="AC76" s="6" t="s">
        <v>231</v>
      </c>
      <c r="AD76" s="1"/>
    </row>
    <row r="77" ht="16.5" hidden="1" customHeight="1" outlineLevel="1">
      <c r="A77" s="1"/>
      <c r="B77" s="62" t="s">
        <v>297</v>
      </c>
      <c r="H77" s="195" t="str">
        <f>IF(C76="","--",IFERROR(VLOOKUP(C76,T_VSk,2,FALSE),"?")+DexDM+H76)</f>
        <v>--</v>
      </c>
      <c r="I77" s="156"/>
      <c r="J77" s="1"/>
      <c r="K77" s="62" t="s">
        <v>268</v>
      </c>
      <c r="M77" s="11"/>
      <c r="N77" s="16"/>
      <c r="O77" s="196"/>
      <c r="P77" s="1"/>
      <c r="Q77" s="197"/>
      <c r="R77" s="198"/>
      <c r="S77" s="199"/>
      <c r="T77" s="1"/>
      <c r="U77" s="31">
        <v>0.0</v>
      </c>
      <c r="V77" s="200"/>
      <c r="W77" s="35"/>
      <c r="X77" s="131"/>
      <c r="Y77" s="201"/>
      <c r="Z77" s="202"/>
      <c r="AA77" s="132"/>
      <c r="AB77" s="203" t="str">
        <f t="shared" ref="AB77:AB105" si="3">IFS(AA77="",,ISNUMBER(AA77),AA77&amp;"",RIGHT(AA77,2)="kg",LEFT(AA77,LEN(AA77)-2)*0.001&amp;"",RIGHT(AA77,3)="kgs",LEFT(AA77,LEN(AA77)-3)*0.001&amp;"",RIGHT(AA77,3)="ton",VALUE(LEFT(AA77,LEN(AA77)-3))&amp;"",RIGHT(AA77,4)="tons",VALUE(LEFT(AA77,LEN(AA77)-4))&amp;"",AND(RIGHT(AA77,1)="t",NOT(ISERROR(VALUE(LEFT(AA77,LEN(AA77)-1))))),VALUE(LEFT(AA77,LEN(AA77)-1))&amp;"",TRUE,"?")</f>
        <v/>
      </c>
      <c r="AC77" s="204"/>
      <c r="AD77" s="1"/>
    </row>
    <row r="78" ht="16.5" hidden="1" customHeight="1" outlineLevel="1">
      <c r="A78" s="1"/>
      <c r="B78" s="1"/>
      <c r="C78" s="1"/>
      <c r="D78" s="1"/>
      <c r="E78" s="1"/>
      <c r="F78" s="1"/>
      <c r="G78" s="1"/>
      <c r="H78" s="1"/>
      <c r="I78" s="1"/>
      <c r="J78" s="1"/>
      <c r="K78" s="62" t="s">
        <v>270</v>
      </c>
      <c r="M78" s="11"/>
      <c r="N78" s="16"/>
      <c r="O78" s="196"/>
      <c r="P78" s="1"/>
      <c r="Q78" s="197"/>
      <c r="R78" s="198"/>
      <c r="S78" s="199"/>
      <c r="T78" s="1"/>
      <c r="U78" s="37">
        <v>0.0</v>
      </c>
      <c r="V78" s="42"/>
      <c r="W78" s="43"/>
      <c r="X78" s="105"/>
      <c r="Y78" s="38"/>
      <c r="Z78" s="41"/>
      <c r="AA78" s="135"/>
      <c r="AB78" s="206" t="str">
        <f t="shared" si="3"/>
        <v/>
      </c>
      <c r="AC78" s="207"/>
      <c r="AD78" s="1"/>
    </row>
    <row r="79" ht="16.5" hidden="1" customHeight="1" outlineLevel="1">
      <c r="A79" s="1"/>
      <c r="B79" s="62" t="s">
        <v>271</v>
      </c>
      <c r="C79" s="130"/>
      <c r="D79" s="36"/>
      <c r="E79" s="62" t="s">
        <v>272</v>
      </c>
      <c r="H79" s="208"/>
      <c r="I79" s="36"/>
      <c r="J79" s="1"/>
      <c r="K79" s="62" t="s">
        <v>273</v>
      </c>
      <c r="M79" s="11"/>
      <c r="N79" s="16"/>
      <c r="O79" s="196"/>
      <c r="P79" s="1"/>
      <c r="Q79" s="197"/>
      <c r="R79" s="198"/>
      <c r="S79" s="199"/>
      <c r="T79" s="1"/>
      <c r="U79" s="37">
        <v>0.0</v>
      </c>
      <c r="V79" s="121"/>
      <c r="W79" s="43"/>
      <c r="X79" s="105"/>
      <c r="Y79" s="38"/>
      <c r="Z79" s="41"/>
      <c r="AA79" s="135"/>
      <c r="AB79" s="206" t="str">
        <f t="shared" si="3"/>
        <v/>
      </c>
      <c r="AC79" s="207"/>
      <c r="AD79" s="1"/>
    </row>
    <row r="80" ht="16.5" hidden="1" customHeight="1" outlineLevel="1">
      <c r="A80" s="1"/>
      <c r="B80" s="62" t="s">
        <v>274</v>
      </c>
      <c r="C80" s="209" t="str">
        <f t="array" ref="C80">IFERROR(INDEX(T_VSpB_N,MAX(MATCH(C79,T_VSpB_N,0)-1,1),1),"--")</f>
        <v>--</v>
      </c>
      <c r="D80" s="51"/>
      <c r="E80" s="62" t="s">
        <v>275</v>
      </c>
      <c r="H80" s="210" t="str">
        <f>IF(H79="","--",H79*1.5)</f>
        <v>--</v>
      </c>
      <c r="I80" s="51"/>
      <c r="J80" s="1"/>
      <c r="K80" s="80" t="s">
        <v>276</v>
      </c>
      <c r="P80" s="1"/>
      <c r="Q80" s="197"/>
      <c r="R80" s="198"/>
      <c r="S80" s="199"/>
      <c r="T80" s="1"/>
      <c r="U80" s="37">
        <v>0.0</v>
      </c>
      <c r="V80" s="42"/>
      <c r="W80" s="43"/>
      <c r="X80" s="105"/>
      <c r="Y80" s="38"/>
      <c r="Z80" s="41"/>
      <c r="AA80" s="135"/>
      <c r="AB80" s="206" t="str">
        <f t="shared" si="3"/>
        <v/>
      </c>
      <c r="AC80" s="211"/>
      <c r="AD80" s="1"/>
    </row>
    <row r="81" ht="16.5" hidden="1" customHeight="1" outlineLevel="1">
      <c r="A81" s="1"/>
      <c r="B81" s="1"/>
      <c r="C81" s="1"/>
      <c r="D81" s="1"/>
      <c r="E81" s="1"/>
      <c r="F81" s="1"/>
      <c r="G81" s="1"/>
      <c r="H81" s="1"/>
      <c r="I81" s="1"/>
      <c r="J81" s="1"/>
      <c r="K81" s="4"/>
      <c r="L81" s="4"/>
      <c r="M81" s="4"/>
      <c r="N81" s="4"/>
      <c r="O81" s="4"/>
      <c r="P81" s="1"/>
      <c r="Q81" s="197"/>
      <c r="R81" s="198"/>
      <c r="S81" s="199"/>
      <c r="T81" s="1"/>
      <c r="U81" s="37">
        <v>0.0</v>
      </c>
      <c r="V81" s="42"/>
      <c r="W81" s="43"/>
      <c r="X81" s="105"/>
      <c r="Y81" s="38"/>
      <c r="Z81" s="41"/>
      <c r="AA81" s="135"/>
      <c r="AB81" s="206" t="str">
        <f t="shared" si="3"/>
        <v/>
      </c>
      <c r="AC81" s="211"/>
      <c r="AD81" s="1"/>
    </row>
    <row r="82" ht="16.5" hidden="1" customHeight="1" outlineLevel="1">
      <c r="A82" s="1"/>
      <c r="B82" s="62" t="s">
        <v>277</v>
      </c>
      <c r="C82" s="212"/>
      <c r="D82" s="9"/>
      <c r="E82" s="62" t="s">
        <v>278</v>
      </c>
      <c r="H82" s="11"/>
      <c r="I82" s="9"/>
      <c r="J82" s="1"/>
      <c r="K82" s="1"/>
      <c r="L82" s="1"/>
      <c r="M82" s="6" t="s">
        <v>66</v>
      </c>
      <c r="O82" s="6" t="s">
        <v>34</v>
      </c>
      <c r="P82" s="1"/>
      <c r="Q82" s="197"/>
      <c r="R82" s="198"/>
      <c r="S82" s="199"/>
      <c r="T82" s="1"/>
      <c r="U82" s="37">
        <v>0.0</v>
      </c>
      <c r="V82" s="42"/>
      <c r="W82" s="43"/>
      <c r="X82" s="105"/>
      <c r="Y82" s="38"/>
      <c r="Z82" s="41"/>
      <c r="AA82" s="135"/>
      <c r="AB82" s="206" t="str">
        <f t="shared" si="3"/>
        <v/>
      </c>
      <c r="AC82" s="211"/>
      <c r="AD82" s="1"/>
    </row>
    <row r="83" ht="16.5" hidden="1" customHeight="1" outlineLevel="1">
      <c r="A83" s="1"/>
      <c r="B83" s="62" t="s">
        <v>279</v>
      </c>
      <c r="C83" s="212"/>
      <c r="D83" s="9"/>
      <c r="E83" s="62" t="s">
        <v>280</v>
      </c>
      <c r="H83" s="11"/>
      <c r="I83" s="9"/>
      <c r="J83" s="1"/>
      <c r="K83" s="62" t="s">
        <v>281</v>
      </c>
      <c r="M83" s="11"/>
      <c r="N83" s="16"/>
      <c r="O83" s="196"/>
      <c r="P83" s="1"/>
      <c r="Q83" s="213"/>
      <c r="R83" s="214"/>
      <c r="S83" s="30"/>
      <c r="T83" s="1"/>
      <c r="U83" s="37">
        <v>0.0</v>
      </c>
      <c r="V83" s="42"/>
      <c r="W83" s="43"/>
      <c r="X83" s="105"/>
      <c r="Y83" s="38"/>
      <c r="Z83" s="41"/>
      <c r="AA83" s="135"/>
      <c r="AB83" s="206" t="str">
        <f t="shared" si="3"/>
        <v/>
      </c>
      <c r="AC83" s="211"/>
      <c r="AD83" s="1"/>
    </row>
    <row r="84" ht="16.5" hidden="1" customHeight="1" outlineLevel="1">
      <c r="A84" s="1"/>
      <c r="B84" s="80" t="s">
        <v>282</v>
      </c>
      <c r="N84" s="1"/>
      <c r="O84" s="80" t="s">
        <v>283</v>
      </c>
      <c r="T84" s="1"/>
      <c r="U84" s="37">
        <v>0.0</v>
      </c>
      <c r="V84" s="42"/>
      <c r="W84" s="43"/>
      <c r="X84" s="105"/>
      <c r="Y84" s="38"/>
      <c r="Z84" s="41"/>
      <c r="AA84" s="135"/>
      <c r="AB84" s="206" t="str">
        <f t="shared" si="3"/>
        <v/>
      </c>
      <c r="AC84" s="211"/>
      <c r="AD84" s="1"/>
    </row>
    <row r="85" ht="16.5" hidden="1" customHeight="1" outlineLevel="1">
      <c r="A85" s="1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1"/>
      <c r="O85" s="4"/>
      <c r="P85" s="4"/>
      <c r="Q85" s="4"/>
      <c r="R85" s="4"/>
      <c r="S85" s="4"/>
      <c r="T85" s="1"/>
      <c r="U85" s="37">
        <v>0.0</v>
      </c>
      <c r="V85" s="42"/>
      <c r="W85" s="43"/>
      <c r="X85" s="105"/>
      <c r="Y85" s="38"/>
      <c r="Z85" s="41"/>
      <c r="AA85" s="135"/>
      <c r="AB85" s="206" t="str">
        <f t="shared" si="3"/>
        <v/>
      </c>
      <c r="AC85" s="211"/>
      <c r="AD85" s="1"/>
    </row>
    <row r="86" ht="16.5" hidden="1" customHeight="1" outlineLevel="1">
      <c r="A86" s="1"/>
      <c r="B86" s="81"/>
      <c r="C86" s="22"/>
      <c r="D86" s="22"/>
      <c r="E86" s="23"/>
      <c r="F86" s="82"/>
      <c r="G86" s="22"/>
      <c r="H86" s="22"/>
      <c r="I86" s="22"/>
      <c r="J86" s="22"/>
      <c r="K86" s="22"/>
      <c r="L86" s="22"/>
      <c r="M86" s="25"/>
      <c r="N86" s="1"/>
      <c r="O86" s="62" t="s">
        <v>284</v>
      </c>
      <c r="S86" s="13"/>
      <c r="T86" s="1"/>
      <c r="U86" s="37">
        <v>0.0</v>
      </c>
      <c r="V86" s="42"/>
      <c r="W86" s="43"/>
      <c r="X86" s="105"/>
      <c r="Y86" s="38"/>
      <c r="Z86" s="41"/>
      <c r="AA86" s="135"/>
      <c r="AB86" s="206" t="str">
        <f t="shared" si="3"/>
        <v/>
      </c>
      <c r="AC86" s="211"/>
      <c r="AD86" s="1"/>
    </row>
    <row r="87" ht="16.5" hidden="1" customHeight="1" outlineLevel="1">
      <c r="A87" s="1"/>
      <c r="B87" s="215"/>
      <c r="C87" s="216"/>
      <c r="D87" s="216"/>
      <c r="E87" s="217"/>
      <c r="F87" s="218"/>
      <c r="G87" s="216"/>
      <c r="H87" s="216"/>
      <c r="I87" s="216"/>
      <c r="J87" s="216"/>
      <c r="K87" s="216"/>
      <c r="L87" s="216"/>
      <c r="M87" s="199"/>
      <c r="N87" s="1"/>
      <c r="O87" s="62" t="s">
        <v>285</v>
      </c>
      <c r="S87" s="13"/>
      <c r="T87" s="1"/>
      <c r="U87" s="37">
        <v>0.0</v>
      </c>
      <c r="V87" s="42"/>
      <c r="W87" s="43"/>
      <c r="X87" s="105"/>
      <c r="Y87" s="38"/>
      <c r="Z87" s="41"/>
      <c r="AA87" s="135"/>
      <c r="AB87" s="206" t="str">
        <f t="shared" si="3"/>
        <v/>
      </c>
      <c r="AC87" s="211"/>
      <c r="AD87" s="1"/>
    </row>
    <row r="88" ht="16.5" hidden="1" customHeight="1" outlineLevel="1">
      <c r="A88" s="1"/>
      <c r="B88" s="215"/>
      <c r="C88" s="216"/>
      <c r="D88" s="216"/>
      <c r="E88" s="217"/>
      <c r="F88" s="218"/>
      <c r="G88" s="216"/>
      <c r="H88" s="216"/>
      <c r="I88" s="216"/>
      <c r="J88" s="216"/>
      <c r="K88" s="216"/>
      <c r="L88" s="216"/>
      <c r="M88" s="199"/>
      <c r="N88" s="1"/>
      <c r="O88" s="62" t="s">
        <v>286</v>
      </c>
      <c r="S88" s="13"/>
      <c r="T88" s="1"/>
      <c r="U88" s="37">
        <v>0.0</v>
      </c>
      <c r="V88" s="42"/>
      <c r="W88" s="43"/>
      <c r="X88" s="105"/>
      <c r="Y88" s="38"/>
      <c r="Z88" s="41"/>
      <c r="AA88" s="219"/>
      <c r="AB88" s="206" t="str">
        <f t="shared" si="3"/>
        <v/>
      </c>
      <c r="AC88" s="211"/>
      <c r="AD88" s="1"/>
    </row>
    <row r="89" ht="16.5" hidden="1" customHeight="1" outlineLevel="1">
      <c r="A89" s="1"/>
      <c r="B89" s="215"/>
      <c r="C89" s="216"/>
      <c r="D89" s="216"/>
      <c r="E89" s="217"/>
      <c r="F89" s="218"/>
      <c r="G89" s="216"/>
      <c r="H89" s="216"/>
      <c r="I89" s="216"/>
      <c r="J89" s="216"/>
      <c r="K89" s="216"/>
      <c r="L89" s="216"/>
      <c r="M89" s="199"/>
      <c r="N89" s="1"/>
      <c r="O89" s="62" t="s">
        <v>287</v>
      </c>
      <c r="S89" s="13"/>
      <c r="T89" s="1"/>
      <c r="U89" s="37">
        <v>0.0</v>
      </c>
      <c r="V89" s="42"/>
      <c r="W89" s="43"/>
      <c r="X89" s="105"/>
      <c r="Y89" s="38"/>
      <c r="Z89" s="41"/>
      <c r="AA89" s="135"/>
      <c r="AB89" s="206" t="str">
        <f t="shared" si="3"/>
        <v/>
      </c>
      <c r="AC89" s="211"/>
      <c r="AD89" s="1"/>
    </row>
    <row r="90" ht="16.5" hidden="1" customHeight="1" outlineLevel="1">
      <c r="A90" s="1"/>
      <c r="B90" s="215"/>
      <c r="C90" s="216"/>
      <c r="D90" s="216"/>
      <c r="E90" s="217"/>
      <c r="F90" s="218"/>
      <c r="G90" s="216"/>
      <c r="H90" s="216"/>
      <c r="I90" s="216"/>
      <c r="J90" s="216"/>
      <c r="K90" s="216"/>
      <c r="L90" s="216"/>
      <c r="M90" s="199"/>
      <c r="N90" s="1"/>
      <c r="O90" s="62" t="s">
        <v>288</v>
      </c>
      <c r="S90" s="13"/>
      <c r="T90" s="1"/>
      <c r="U90" s="37">
        <v>0.0</v>
      </c>
      <c r="V90" s="42"/>
      <c r="W90" s="43"/>
      <c r="X90" s="105"/>
      <c r="Y90" s="38"/>
      <c r="Z90" s="41"/>
      <c r="AA90" s="219"/>
      <c r="AB90" s="206" t="str">
        <f t="shared" si="3"/>
        <v/>
      </c>
      <c r="AC90" s="211"/>
      <c r="AD90" s="1"/>
    </row>
    <row r="91" ht="16.5" hidden="1" customHeight="1" outlineLevel="1">
      <c r="A91" s="1"/>
      <c r="B91" s="215"/>
      <c r="C91" s="216"/>
      <c r="D91" s="216"/>
      <c r="E91" s="217"/>
      <c r="F91" s="218"/>
      <c r="G91" s="216"/>
      <c r="H91" s="216"/>
      <c r="I91" s="216"/>
      <c r="J91" s="216"/>
      <c r="K91" s="216"/>
      <c r="L91" s="216"/>
      <c r="M91" s="199"/>
      <c r="N91" s="1"/>
      <c r="O91" s="62" t="s">
        <v>289</v>
      </c>
      <c r="S91" s="13"/>
      <c r="T91" s="1"/>
      <c r="U91" s="37">
        <v>0.0</v>
      </c>
      <c r="V91" s="42"/>
      <c r="W91" s="43"/>
      <c r="X91" s="105"/>
      <c r="Y91" s="38"/>
      <c r="Z91" s="41"/>
      <c r="AA91" s="219"/>
      <c r="AB91" s="206" t="str">
        <f t="shared" si="3"/>
        <v/>
      </c>
      <c r="AC91" s="211"/>
      <c r="AD91" s="1"/>
    </row>
    <row r="92" ht="16.5" hidden="1" customHeight="1" outlineLevel="1">
      <c r="A92" s="1"/>
      <c r="B92" s="220"/>
      <c r="C92" s="216"/>
      <c r="D92" s="216"/>
      <c r="E92" s="217"/>
      <c r="F92" s="198"/>
      <c r="G92" s="216"/>
      <c r="H92" s="216"/>
      <c r="I92" s="216"/>
      <c r="J92" s="216"/>
      <c r="K92" s="216"/>
      <c r="L92" s="216"/>
      <c r="M92" s="199"/>
      <c r="N92" s="1"/>
      <c r="O92" s="80" t="s">
        <v>290</v>
      </c>
      <c r="T92" s="1"/>
      <c r="U92" s="37">
        <v>0.0</v>
      </c>
      <c r="V92" s="42"/>
      <c r="W92" s="43"/>
      <c r="X92" s="105"/>
      <c r="Y92" s="38"/>
      <c r="Z92" s="41"/>
      <c r="AA92" s="219"/>
      <c r="AB92" s="206" t="str">
        <f t="shared" si="3"/>
        <v/>
      </c>
      <c r="AC92" s="211"/>
      <c r="AD92" s="1"/>
    </row>
    <row r="93" ht="16.5" hidden="1" customHeight="1" outlineLevel="1">
      <c r="A93" s="1"/>
      <c r="B93" s="215"/>
      <c r="C93" s="216"/>
      <c r="D93" s="216"/>
      <c r="E93" s="217"/>
      <c r="F93" s="218"/>
      <c r="G93" s="216"/>
      <c r="H93" s="216"/>
      <c r="I93" s="216"/>
      <c r="J93" s="216"/>
      <c r="K93" s="216"/>
      <c r="L93" s="216"/>
      <c r="M93" s="199"/>
      <c r="N93" s="1"/>
      <c r="O93" s="4"/>
      <c r="P93" s="4"/>
      <c r="Q93" s="4"/>
      <c r="R93" s="4"/>
      <c r="S93" s="4"/>
      <c r="T93" s="1"/>
      <c r="U93" s="37">
        <v>0.0</v>
      </c>
      <c r="V93" s="42"/>
      <c r="W93" s="43"/>
      <c r="X93" s="105"/>
      <c r="Y93" s="38"/>
      <c r="Z93" s="41"/>
      <c r="AA93" s="219"/>
      <c r="AB93" s="206" t="str">
        <f t="shared" si="3"/>
        <v/>
      </c>
      <c r="AC93" s="211"/>
      <c r="AD93" s="1"/>
    </row>
    <row r="94" ht="16.5" hidden="1" customHeight="1" outlineLevel="1">
      <c r="A94" s="1"/>
      <c r="B94" s="215"/>
      <c r="C94" s="216"/>
      <c r="D94" s="216"/>
      <c r="E94" s="217"/>
      <c r="F94" s="218"/>
      <c r="G94" s="216"/>
      <c r="H94" s="216"/>
      <c r="I94" s="216"/>
      <c r="J94" s="216"/>
      <c r="K94" s="216"/>
      <c r="L94" s="216"/>
      <c r="M94" s="199"/>
      <c r="N94" s="1"/>
      <c r="O94" s="6" t="s">
        <v>291</v>
      </c>
      <c r="Q94" s="6" t="s">
        <v>292</v>
      </c>
      <c r="T94" s="1"/>
      <c r="U94" s="37">
        <v>0.0</v>
      </c>
      <c r="V94" s="42"/>
      <c r="W94" s="43"/>
      <c r="X94" s="105"/>
      <c r="Y94" s="38"/>
      <c r="Z94" s="41"/>
      <c r="AA94" s="219"/>
      <c r="AB94" s="206" t="str">
        <f t="shared" si="3"/>
        <v/>
      </c>
      <c r="AC94" s="211"/>
      <c r="AD94" s="1"/>
    </row>
    <row r="95" ht="16.5" hidden="1" customHeight="1" outlineLevel="1">
      <c r="A95" s="1"/>
      <c r="B95" s="215"/>
      <c r="C95" s="216"/>
      <c r="D95" s="216"/>
      <c r="E95" s="217"/>
      <c r="F95" s="218"/>
      <c r="G95" s="216"/>
      <c r="H95" s="216"/>
      <c r="I95" s="216"/>
      <c r="J95" s="216"/>
      <c r="K95" s="216"/>
      <c r="L95" s="216"/>
      <c r="M95" s="199"/>
      <c r="N95" s="1"/>
      <c r="O95" s="240"/>
      <c r="P95" s="131"/>
      <c r="Q95" s="241"/>
      <c r="R95" s="35"/>
      <c r="S95" s="36"/>
      <c r="T95" s="1"/>
      <c r="U95" s="37">
        <v>0.0</v>
      </c>
      <c r="V95" s="42"/>
      <c r="W95" s="43"/>
      <c r="X95" s="105"/>
      <c r="Y95" s="38"/>
      <c r="Z95" s="41"/>
      <c r="AA95" s="219"/>
      <c r="AB95" s="206" t="str">
        <f t="shared" si="3"/>
        <v/>
      </c>
      <c r="AC95" s="211"/>
      <c r="AD95" s="1"/>
    </row>
    <row r="96" ht="16.5" hidden="1" customHeight="1" outlineLevel="1">
      <c r="A96" s="1"/>
      <c r="B96" s="215"/>
      <c r="C96" s="216"/>
      <c r="D96" s="216"/>
      <c r="E96" s="217"/>
      <c r="F96" s="218"/>
      <c r="G96" s="216"/>
      <c r="H96" s="216"/>
      <c r="I96" s="216"/>
      <c r="J96" s="216"/>
      <c r="K96" s="216"/>
      <c r="L96" s="216"/>
      <c r="M96" s="199"/>
      <c r="N96" s="1"/>
      <c r="O96" s="242"/>
      <c r="P96" s="105"/>
      <c r="Q96" s="224"/>
      <c r="R96" s="43"/>
      <c r="S96" s="44"/>
      <c r="T96" s="1"/>
      <c r="U96" s="37">
        <v>0.0</v>
      </c>
      <c r="V96" s="42"/>
      <c r="W96" s="43"/>
      <c r="X96" s="105"/>
      <c r="Y96" s="38"/>
      <c r="Z96" s="41"/>
      <c r="AA96" s="219"/>
      <c r="AB96" s="206" t="str">
        <f t="shared" si="3"/>
        <v/>
      </c>
      <c r="AC96" s="211"/>
      <c r="AD96" s="1"/>
    </row>
    <row r="97" ht="16.5" hidden="1" customHeight="1" outlineLevel="1">
      <c r="A97" s="1"/>
      <c r="B97" s="215"/>
      <c r="C97" s="216"/>
      <c r="D97" s="216"/>
      <c r="E97" s="217"/>
      <c r="F97" s="218"/>
      <c r="G97" s="216"/>
      <c r="H97" s="216"/>
      <c r="I97" s="216"/>
      <c r="J97" s="216"/>
      <c r="K97" s="216"/>
      <c r="L97" s="216"/>
      <c r="M97" s="199"/>
      <c r="N97" s="1"/>
      <c r="O97" s="242"/>
      <c r="P97" s="105"/>
      <c r="Q97" s="224"/>
      <c r="R97" s="43"/>
      <c r="S97" s="44"/>
      <c r="T97" s="1"/>
      <c r="U97" s="37">
        <v>0.0</v>
      </c>
      <c r="V97" s="42"/>
      <c r="W97" s="43"/>
      <c r="X97" s="105"/>
      <c r="Y97" s="38"/>
      <c r="Z97" s="41"/>
      <c r="AA97" s="219"/>
      <c r="AB97" s="206" t="str">
        <f t="shared" si="3"/>
        <v/>
      </c>
      <c r="AC97" s="211"/>
      <c r="AD97" s="1"/>
    </row>
    <row r="98" ht="16.5" hidden="1" customHeight="1" outlineLevel="1">
      <c r="A98" s="1"/>
      <c r="B98" s="215"/>
      <c r="C98" s="216"/>
      <c r="D98" s="216"/>
      <c r="E98" s="217"/>
      <c r="F98" s="218"/>
      <c r="G98" s="216"/>
      <c r="H98" s="216"/>
      <c r="I98" s="216"/>
      <c r="J98" s="216"/>
      <c r="K98" s="216"/>
      <c r="L98" s="216"/>
      <c r="M98" s="199"/>
      <c r="N98" s="1"/>
      <c r="O98" s="242"/>
      <c r="P98" s="105"/>
      <c r="Q98" s="224"/>
      <c r="R98" s="43"/>
      <c r="S98" s="44"/>
      <c r="T98" s="1"/>
      <c r="U98" s="37">
        <v>0.0</v>
      </c>
      <c r="V98" s="42"/>
      <c r="W98" s="43"/>
      <c r="X98" s="105"/>
      <c r="Y98" s="38"/>
      <c r="Z98" s="41"/>
      <c r="AA98" s="219"/>
      <c r="AB98" s="206" t="str">
        <f t="shared" si="3"/>
        <v/>
      </c>
      <c r="AC98" s="211"/>
      <c r="AD98" s="1"/>
    </row>
    <row r="99" ht="16.5" hidden="1" customHeight="1" outlineLevel="1">
      <c r="A99" s="1"/>
      <c r="B99" s="83"/>
      <c r="C99" s="27"/>
      <c r="D99" s="27"/>
      <c r="E99" s="28"/>
      <c r="F99" s="84"/>
      <c r="G99" s="27"/>
      <c r="H99" s="27"/>
      <c r="I99" s="27"/>
      <c r="J99" s="27"/>
      <c r="K99" s="27"/>
      <c r="L99" s="27"/>
      <c r="M99" s="30"/>
      <c r="N99" s="1"/>
      <c r="O99" s="243"/>
      <c r="P99" s="141"/>
      <c r="Q99" s="227"/>
      <c r="R99" s="50"/>
      <c r="S99" s="51"/>
      <c r="T99" s="1"/>
      <c r="U99" s="37">
        <v>0.0</v>
      </c>
      <c r="V99" s="42"/>
      <c r="W99" s="43"/>
      <c r="X99" s="105"/>
      <c r="Y99" s="38"/>
      <c r="Z99" s="41"/>
      <c r="AA99" s="219"/>
      <c r="AB99" s="206" t="str">
        <f t="shared" si="3"/>
        <v/>
      </c>
      <c r="AC99" s="211"/>
      <c r="AD99" s="1"/>
    </row>
    <row r="100" ht="16.5" hidden="1" customHeight="1" outlineLevel="1">
      <c r="A100" s="1"/>
      <c r="B100" s="80" t="s">
        <v>200</v>
      </c>
      <c r="T100" s="1"/>
      <c r="U100" s="37">
        <v>0.0</v>
      </c>
      <c r="V100" s="42"/>
      <c r="W100" s="43"/>
      <c r="X100" s="105"/>
      <c r="Y100" s="38"/>
      <c r="Z100" s="41"/>
      <c r="AA100" s="219"/>
      <c r="AB100" s="206" t="str">
        <f t="shared" si="3"/>
        <v/>
      </c>
      <c r="AC100" s="211"/>
      <c r="AD100" s="1"/>
    </row>
    <row r="101" ht="16.5" hidden="1" customHeight="1" outlineLevel="1">
      <c r="A101" s="1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1"/>
      <c r="U101" s="37">
        <v>0.0</v>
      </c>
      <c r="V101" s="42"/>
      <c r="W101" s="43"/>
      <c r="X101" s="105"/>
      <c r="Y101" s="38"/>
      <c r="Z101" s="41"/>
      <c r="AA101" s="135"/>
      <c r="AB101" s="206" t="str">
        <f t="shared" si="3"/>
        <v/>
      </c>
      <c r="AC101" s="211"/>
      <c r="AD101" s="1"/>
    </row>
    <row r="102" ht="16.5" hidden="1" customHeight="1" outlineLevel="1">
      <c r="A102" s="1"/>
      <c r="B102" s="6" t="s">
        <v>202</v>
      </c>
      <c r="D102" s="6" t="s">
        <v>293</v>
      </c>
      <c r="G102" s="6" t="s">
        <v>13</v>
      </c>
      <c r="H102" s="6" t="s">
        <v>203</v>
      </c>
      <c r="I102" s="6" t="s">
        <v>206</v>
      </c>
      <c r="K102" s="6" t="s">
        <v>207</v>
      </c>
      <c r="N102" s="6" t="s">
        <v>294</v>
      </c>
      <c r="P102" s="6" t="s">
        <v>208</v>
      </c>
      <c r="S102" s="6" t="s">
        <v>295</v>
      </c>
      <c r="T102" s="1"/>
      <c r="U102" s="37">
        <v>0.0</v>
      </c>
      <c r="V102" s="42"/>
      <c r="W102" s="43"/>
      <c r="X102" s="105"/>
      <c r="Y102" s="38"/>
      <c r="Z102" s="41"/>
      <c r="AA102" s="219"/>
      <c r="AB102" s="206" t="str">
        <f t="shared" si="3"/>
        <v/>
      </c>
      <c r="AC102" s="211"/>
      <c r="AD102" s="1"/>
    </row>
    <row r="103" ht="16.5" hidden="1" customHeight="1" outlineLevel="1">
      <c r="A103" s="1"/>
      <c r="B103" s="130"/>
      <c r="C103" s="131"/>
      <c r="D103" s="241"/>
      <c r="E103" s="35"/>
      <c r="F103" s="131"/>
      <c r="G103" s="201"/>
      <c r="H103" s="33"/>
      <c r="I103" s="228"/>
      <c r="J103" s="131"/>
      <c r="K103" s="33"/>
      <c r="L103" s="228"/>
      <c r="M103" s="131"/>
      <c r="N103" s="229"/>
      <c r="O103" s="131"/>
      <c r="P103" s="34"/>
      <c r="Q103" s="35"/>
      <c r="R103" s="131"/>
      <c r="S103" s="90"/>
      <c r="T103" s="1"/>
      <c r="U103" s="37">
        <v>0.0</v>
      </c>
      <c r="V103" s="42"/>
      <c r="W103" s="43"/>
      <c r="X103" s="105"/>
      <c r="Y103" s="38"/>
      <c r="Z103" s="41"/>
      <c r="AA103" s="219"/>
      <c r="AB103" s="206" t="str">
        <f t="shared" si="3"/>
        <v/>
      </c>
      <c r="AC103" s="211"/>
      <c r="AD103" s="1"/>
    </row>
    <row r="104" ht="16.5" hidden="1" customHeight="1" outlineLevel="1">
      <c r="A104" s="1"/>
      <c r="B104" s="134"/>
      <c r="C104" s="105"/>
      <c r="D104" s="225"/>
      <c r="E104" s="43"/>
      <c r="F104" s="105"/>
      <c r="G104" s="39"/>
      <c r="H104" s="40"/>
      <c r="I104" s="230"/>
      <c r="J104" s="105"/>
      <c r="K104" s="40"/>
      <c r="L104" s="230"/>
      <c r="M104" s="105"/>
      <c r="N104" s="231"/>
      <c r="O104" s="105"/>
      <c r="P104" s="121"/>
      <c r="Q104" s="43"/>
      <c r="R104" s="105"/>
      <c r="S104" s="93"/>
      <c r="T104" s="1"/>
      <c r="U104" s="37">
        <v>0.0</v>
      </c>
      <c r="V104" s="42"/>
      <c r="W104" s="43"/>
      <c r="X104" s="105"/>
      <c r="Y104" s="38"/>
      <c r="Z104" s="41"/>
      <c r="AA104" s="219"/>
      <c r="AB104" s="206" t="str">
        <f t="shared" si="3"/>
        <v/>
      </c>
      <c r="AC104" s="211"/>
      <c r="AD104" s="1"/>
    </row>
    <row r="105" ht="16.5" hidden="1" customHeight="1" outlineLevel="1">
      <c r="A105" s="1"/>
      <c r="B105" s="134"/>
      <c r="C105" s="105"/>
      <c r="D105" s="225"/>
      <c r="E105" s="43"/>
      <c r="F105" s="105"/>
      <c r="G105" s="39"/>
      <c r="H105" s="40"/>
      <c r="I105" s="230"/>
      <c r="J105" s="105"/>
      <c r="K105" s="40"/>
      <c r="L105" s="230"/>
      <c r="M105" s="105"/>
      <c r="N105" s="231"/>
      <c r="O105" s="105"/>
      <c r="P105" s="121"/>
      <c r="Q105" s="43"/>
      <c r="R105" s="105"/>
      <c r="S105" s="93"/>
      <c r="T105" s="1"/>
      <c r="U105" s="45">
        <v>0.0</v>
      </c>
      <c r="V105" s="49"/>
      <c r="W105" s="50"/>
      <c r="X105" s="141"/>
      <c r="Y105" s="46"/>
      <c r="Z105" s="48"/>
      <c r="AA105" s="232"/>
      <c r="AB105" s="233" t="str">
        <f t="shared" si="3"/>
        <v/>
      </c>
      <c r="AC105" s="234"/>
      <c r="AD105" s="1"/>
    </row>
    <row r="106" ht="16.5" hidden="1" customHeight="1" outlineLevel="1">
      <c r="A106" s="1"/>
      <c r="B106" s="151"/>
      <c r="C106" s="141"/>
      <c r="D106" s="235"/>
      <c r="E106" s="50"/>
      <c r="F106" s="141"/>
      <c r="G106" s="183"/>
      <c r="H106" s="47"/>
      <c r="I106" s="236"/>
      <c r="J106" s="141"/>
      <c r="K106" s="47"/>
      <c r="L106" s="236"/>
      <c r="M106" s="141"/>
      <c r="N106" s="237"/>
      <c r="O106" s="141"/>
      <c r="P106" s="144"/>
      <c r="Q106" s="50"/>
      <c r="R106" s="141"/>
      <c r="S106" s="97"/>
      <c r="T106" s="1"/>
      <c r="U106" s="95">
        <f>SUM(U77:U105)</f>
        <v>0</v>
      </c>
      <c r="V106" s="1"/>
      <c r="W106" s="1"/>
      <c r="X106" s="1"/>
      <c r="Y106" s="1"/>
      <c r="Z106" s="62" t="s">
        <v>34</v>
      </c>
      <c r="AA106" s="238" t="str">
        <f>SUMPRODUCT(U77:U105,AB77:AB105)&amp;""</f>
        <v>0</v>
      </c>
      <c r="AB106" s="9"/>
      <c r="AC106" s="239">
        <f>SUMPRODUCT(U77:U105,AC77:AC105)</f>
        <v>0</v>
      </c>
      <c r="AD106" s="1"/>
    </row>
    <row r="107" ht="49.5" customHeight="1">
      <c r="A107" s="1"/>
      <c r="B107" s="3" t="str">
        <f>IF(C108="","VEHICLE 4",UPPER(C108))</f>
        <v>VEHICLE 4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1"/>
    </row>
    <row r="108" ht="16.5" customHeight="1" collapsed="1">
      <c r="A108" s="1"/>
      <c r="B108" s="62" t="s">
        <v>260</v>
      </c>
      <c r="C108" s="8"/>
      <c r="D108" s="15"/>
      <c r="E108" s="15"/>
      <c r="F108" s="15"/>
      <c r="G108" s="15"/>
      <c r="H108" s="15"/>
      <c r="I108" s="9"/>
      <c r="J108" s="1"/>
      <c r="K108" s="1"/>
      <c r="L108" s="1"/>
      <c r="M108" s="1"/>
      <c r="N108" s="1"/>
      <c r="O108" s="1"/>
      <c r="P108" s="1"/>
      <c r="Q108" s="1"/>
      <c r="R108" s="1"/>
      <c r="S108" s="62" t="s">
        <v>261</v>
      </c>
      <c r="V108" s="188">
        <f>VALUE(AA141)</f>
        <v>0</v>
      </c>
      <c r="W108" s="189" t="s">
        <v>262</v>
      </c>
      <c r="X108" s="190" t="str">
        <f>IF(C117="","--",C117)</f>
        <v>--</v>
      </c>
      <c r="Y108" s="1"/>
      <c r="Z108" s="1"/>
      <c r="AA108" s="1"/>
      <c r="AB108" s="1"/>
      <c r="AC108" s="1"/>
      <c r="AD108" s="1"/>
    </row>
    <row r="109" ht="16.5" hidden="1" customHeight="1" outlineLevel="1">
      <c r="A109" s="1"/>
      <c r="B109" s="62" t="s">
        <v>231</v>
      </c>
      <c r="C109" s="191"/>
      <c r="D109" s="15"/>
      <c r="E109" s="9"/>
      <c r="F109" s="62" t="s">
        <v>230</v>
      </c>
      <c r="H109" s="11"/>
      <c r="I109" s="9"/>
      <c r="J109" s="1"/>
      <c r="K109" s="80" t="s">
        <v>214</v>
      </c>
      <c r="P109" s="1"/>
      <c r="Q109" s="80" t="s">
        <v>263</v>
      </c>
      <c r="T109" s="1"/>
      <c r="U109" s="80" t="s">
        <v>264</v>
      </c>
      <c r="AD109" s="1"/>
    </row>
    <row r="110" ht="16.5" hidden="1" customHeight="1" outlineLevel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4"/>
      <c r="L110" s="4"/>
      <c r="M110" s="4"/>
      <c r="N110" s="4"/>
      <c r="O110" s="4"/>
      <c r="P110" s="1"/>
      <c r="Q110" s="4"/>
      <c r="R110" s="4"/>
      <c r="S110" s="4"/>
      <c r="T110" s="1"/>
      <c r="U110" s="4"/>
      <c r="V110" s="4"/>
      <c r="W110" s="4"/>
      <c r="X110" s="4"/>
      <c r="Y110" s="4"/>
      <c r="Z110" s="4"/>
      <c r="AA110" s="4"/>
      <c r="AB110" s="4"/>
      <c r="AC110" s="4"/>
      <c r="AD110" s="1"/>
    </row>
    <row r="111" ht="16.5" hidden="1" customHeight="1" outlineLevel="1">
      <c r="A111" s="1"/>
      <c r="B111" s="62" t="s">
        <v>50</v>
      </c>
      <c r="C111" s="8"/>
      <c r="D111" s="15"/>
      <c r="E111" s="15"/>
      <c r="F111" s="9"/>
      <c r="G111" s="62" t="s">
        <v>265</v>
      </c>
      <c r="H111" s="192"/>
      <c r="I111" s="79"/>
      <c r="J111" s="1"/>
      <c r="K111" s="1"/>
      <c r="L111" s="1"/>
      <c r="M111" s="6" t="s">
        <v>66</v>
      </c>
      <c r="O111" s="6" t="s">
        <v>34</v>
      </c>
      <c r="P111" s="1"/>
      <c r="Q111" s="193"/>
      <c r="R111" s="194"/>
      <c r="S111" s="25"/>
      <c r="T111" s="1"/>
      <c r="U111" s="6" t="s">
        <v>244</v>
      </c>
      <c r="V111" s="6" t="s">
        <v>245</v>
      </c>
      <c r="Y111" s="6" t="s">
        <v>54</v>
      </c>
      <c r="Z111" s="6" t="s">
        <v>230</v>
      </c>
      <c r="AA111" s="6" t="s">
        <v>246</v>
      </c>
      <c r="AB111" s="6" t="s">
        <v>266</v>
      </c>
      <c r="AC111" s="6" t="s">
        <v>231</v>
      </c>
      <c r="AD111" s="1"/>
    </row>
    <row r="112" ht="16.5" hidden="1" customHeight="1" outlineLevel="1">
      <c r="A112" s="1"/>
      <c r="B112" s="62" t="s">
        <v>298</v>
      </c>
      <c r="H112" s="195" t="str">
        <f>IF(C111="","--",IFERROR(VLOOKUP(C111,T_VSk,2,FALSE),"?")+DexDM+H111)</f>
        <v>--</v>
      </c>
      <c r="I112" s="156"/>
      <c r="J112" s="1"/>
      <c r="K112" s="62" t="s">
        <v>268</v>
      </c>
      <c r="M112" s="11"/>
      <c r="N112" s="16"/>
      <c r="O112" s="196"/>
      <c r="P112" s="1"/>
      <c r="Q112" s="197"/>
      <c r="R112" s="198"/>
      <c r="S112" s="199"/>
      <c r="T112" s="1"/>
      <c r="U112" s="31">
        <v>0.0</v>
      </c>
      <c r="V112" s="200"/>
      <c r="W112" s="35"/>
      <c r="X112" s="131"/>
      <c r="Y112" s="201"/>
      <c r="Z112" s="202"/>
      <c r="AA112" s="132"/>
      <c r="AB112" s="203" t="str">
        <f t="shared" ref="AB112:AB140" si="4">IFS(AA112="",,ISNUMBER(AA112),AA112&amp;"",RIGHT(AA112,2)="kg",LEFT(AA112,LEN(AA112)-2)*0.001&amp;"",RIGHT(AA112,3)="kgs",LEFT(AA112,LEN(AA112)-3)*0.001&amp;"",RIGHT(AA112,3)="ton",VALUE(LEFT(AA112,LEN(AA112)-3))&amp;"",RIGHT(AA112,4)="tons",VALUE(LEFT(AA112,LEN(AA112)-4))&amp;"",AND(RIGHT(AA112,1)="t",NOT(ISERROR(VALUE(LEFT(AA112,LEN(AA112)-1))))),VALUE(LEFT(AA112,LEN(AA112)-1))&amp;"",TRUE,"?")</f>
        <v/>
      </c>
      <c r="AC112" s="204"/>
      <c r="AD112" s="1"/>
    </row>
    <row r="113" ht="16.5" hidden="1" customHeight="1" outlineLevel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62" t="s">
        <v>270</v>
      </c>
      <c r="M113" s="11"/>
      <c r="N113" s="16"/>
      <c r="O113" s="196"/>
      <c r="P113" s="1"/>
      <c r="Q113" s="197"/>
      <c r="R113" s="198"/>
      <c r="S113" s="199"/>
      <c r="T113" s="1"/>
      <c r="U113" s="37">
        <v>0.0</v>
      </c>
      <c r="V113" s="42"/>
      <c r="W113" s="43"/>
      <c r="X113" s="105"/>
      <c r="Y113" s="38"/>
      <c r="Z113" s="41"/>
      <c r="AA113" s="135"/>
      <c r="AB113" s="206" t="str">
        <f t="shared" si="4"/>
        <v/>
      </c>
      <c r="AC113" s="207"/>
      <c r="AD113" s="1"/>
    </row>
    <row r="114" ht="16.5" hidden="1" customHeight="1" outlineLevel="1">
      <c r="A114" s="1"/>
      <c r="B114" s="62" t="s">
        <v>271</v>
      </c>
      <c r="C114" s="130"/>
      <c r="D114" s="36"/>
      <c r="E114" s="62" t="s">
        <v>272</v>
      </c>
      <c r="H114" s="208"/>
      <c r="I114" s="36"/>
      <c r="J114" s="1"/>
      <c r="K114" s="62" t="s">
        <v>273</v>
      </c>
      <c r="M114" s="11"/>
      <c r="N114" s="16"/>
      <c r="O114" s="196"/>
      <c r="P114" s="1"/>
      <c r="Q114" s="197"/>
      <c r="R114" s="198"/>
      <c r="S114" s="199"/>
      <c r="T114" s="1"/>
      <c r="U114" s="37">
        <v>0.0</v>
      </c>
      <c r="V114" s="121"/>
      <c r="W114" s="43"/>
      <c r="X114" s="105"/>
      <c r="Y114" s="38"/>
      <c r="Z114" s="41"/>
      <c r="AA114" s="135"/>
      <c r="AB114" s="206" t="str">
        <f t="shared" si="4"/>
        <v/>
      </c>
      <c r="AC114" s="207"/>
      <c r="AD114" s="1"/>
    </row>
    <row r="115" ht="16.5" hidden="1" customHeight="1" outlineLevel="1">
      <c r="A115" s="1"/>
      <c r="B115" s="62" t="s">
        <v>274</v>
      </c>
      <c r="C115" s="209" t="str">
        <f t="array" ref="C115">IFERROR(INDEX(T_VSpB_N,MAX(MATCH(C114,T_VSpB_N,0)-1,1),1),"--")</f>
        <v>--</v>
      </c>
      <c r="D115" s="51"/>
      <c r="E115" s="62" t="s">
        <v>275</v>
      </c>
      <c r="H115" s="210" t="str">
        <f>IF(H114="","--",H114*1.5)</f>
        <v>--</v>
      </c>
      <c r="I115" s="51"/>
      <c r="J115" s="1"/>
      <c r="K115" s="80" t="s">
        <v>276</v>
      </c>
      <c r="P115" s="1"/>
      <c r="Q115" s="197"/>
      <c r="R115" s="198"/>
      <c r="S115" s="199"/>
      <c r="T115" s="1"/>
      <c r="U115" s="37">
        <v>0.0</v>
      </c>
      <c r="V115" s="42"/>
      <c r="W115" s="43"/>
      <c r="X115" s="105"/>
      <c r="Y115" s="38"/>
      <c r="Z115" s="41"/>
      <c r="AA115" s="135"/>
      <c r="AB115" s="206" t="str">
        <f t="shared" si="4"/>
        <v/>
      </c>
      <c r="AC115" s="211"/>
      <c r="AD115" s="1"/>
    </row>
    <row r="116" ht="16.5" hidden="1" customHeight="1" outlineLevel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4"/>
      <c r="L116" s="4"/>
      <c r="M116" s="4"/>
      <c r="N116" s="4"/>
      <c r="O116" s="4"/>
      <c r="P116" s="1"/>
      <c r="Q116" s="197"/>
      <c r="R116" s="198"/>
      <c r="S116" s="199"/>
      <c r="T116" s="1"/>
      <c r="U116" s="37">
        <v>0.0</v>
      </c>
      <c r="V116" s="42"/>
      <c r="W116" s="43"/>
      <c r="X116" s="105"/>
      <c r="Y116" s="38"/>
      <c r="Z116" s="41"/>
      <c r="AA116" s="135"/>
      <c r="AB116" s="206" t="str">
        <f t="shared" si="4"/>
        <v/>
      </c>
      <c r="AC116" s="211"/>
      <c r="AD116" s="1"/>
    </row>
    <row r="117" ht="16.5" hidden="1" customHeight="1" outlineLevel="1">
      <c r="A117" s="1"/>
      <c r="B117" s="62" t="s">
        <v>277</v>
      </c>
      <c r="C117" s="212"/>
      <c r="D117" s="9"/>
      <c r="E117" s="62" t="s">
        <v>278</v>
      </c>
      <c r="H117" s="11"/>
      <c r="I117" s="9"/>
      <c r="J117" s="1"/>
      <c r="K117" s="1"/>
      <c r="L117" s="1"/>
      <c r="M117" s="6" t="s">
        <v>66</v>
      </c>
      <c r="O117" s="6" t="s">
        <v>34</v>
      </c>
      <c r="P117" s="1"/>
      <c r="Q117" s="197"/>
      <c r="R117" s="198"/>
      <c r="S117" s="199"/>
      <c r="T117" s="1"/>
      <c r="U117" s="37">
        <v>0.0</v>
      </c>
      <c r="V117" s="42"/>
      <c r="W117" s="43"/>
      <c r="X117" s="105"/>
      <c r="Y117" s="38"/>
      <c r="Z117" s="41"/>
      <c r="AA117" s="135"/>
      <c r="AB117" s="206" t="str">
        <f t="shared" si="4"/>
        <v/>
      </c>
      <c r="AC117" s="211"/>
      <c r="AD117" s="1"/>
    </row>
    <row r="118" ht="16.5" hidden="1" customHeight="1" outlineLevel="1">
      <c r="A118" s="1"/>
      <c r="B118" s="62" t="s">
        <v>279</v>
      </c>
      <c r="C118" s="212"/>
      <c r="D118" s="9"/>
      <c r="E118" s="62" t="s">
        <v>280</v>
      </c>
      <c r="H118" s="11"/>
      <c r="I118" s="9"/>
      <c r="J118" s="1"/>
      <c r="K118" s="62" t="s">
        <v>281</v>
      </c>
      <c r="M118" s="11"/>
      <c r="N118" s="16"/>
      <c r="O118" s="196"/>
      <c r="P118" s="1"/>
      <c r="Q118" s="213"/>
      <c r="R118" s="214"/>
      <c r="S118" s="30"/>
      <c r="T118" s="1"/>
      <c r="U118" s="37">
        <v>0.0</v>
      </c>
      <c r="V118" s="42"/>
      <c r="W118" s="43"/>
      <c r="X118" s="105"/>
      <c r="Y118" s="38"/>
      <c r="Z118" s="41"/>
      <c r="AA118" s="135"/>
      <c r="AB118" s="206" t="str">
        <f t="shared" si="4"/>
        <v/>
      </c>
      <c r="AC118" s="211"/>
      <c r="AD118" s="1"/>
    </row>
    <row r="119" ht="16.5" hidden="1" customHeight="1" outlineLevel="1">
      <c r="A119" s="1"/>
      <c r="B119" s="80" t="s">
        <v>282</v>
      </c>
      <c r="N119" s="1"/>
      <c r="O119" s="80" t="s">
        <v>283</v>
      </c>
      <c r="T119" s="1"/>
      <c r="U119" s="37">
        <v>0.0</v>
      </c>
      <c r="V119" s="42"/>
      <c r="W119" s="43"/>
      <c r="X119" s="105"/>
      <c r="Y119" s="38"/>
      <c r="Z119" s="41"/>
      <c r="AA119" s="135"/>
      <c r="AB119" s="206" t="str">
        <f t="shared" si="4"/>
        <v/>
      </c>
      <c r="AC119" s="211"/>
      <c r="AD119" s="1"/>
    </row>
    <row r="120" ht="16.5" hidden="1" customHeight="1" outlineLevel="1">
      <c r="A120" s="1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1"/>
      <c r="O120" s="4"/>
      <c r="P120" s="4"/>
      <c r="Q120" s="4"/>
      <c r="R120" s="4"/>
      <c r="S120" s="4"/>
      <c r="T120" s="1"/>
      <c r="U120" s="37">
        <v>0.0</v>
      </c>
      <c r="V120" s="42"/>
      <c r="W120" s="43"/>
      <c r="X120" s="105"/>
      <c r="Y120" s="38"/>
      <c r="Z120" s="41"/>
      <c r="AA120" s="135"/>
      <c r="AB120" s="206" t="str">
        <f t="shared" si="4"/>
        <v/>
      </c>
      <c r="AC120" s="211"/>
      <c r="AD120" s="1"/>
    </row>
    <row r="121" ht="16.5" hidden="1" customHeight="1" outlineLevel="1">
      <c r="A121" s="1"/>
      <c r="B121" s="81"/>
      <c r="C121" s="22"/>
      <c r="D121" s="22"/>
      <c r="E121" s="23"/>
      <c r="F121" s="82"/>
      <c r="G121" s="22"/>
      <c r="H121" s="22"/>
      <c r="I121" s="22"/>
      <c r="J121" s="22"/>
      <c r="K121" s="22"/>
      <c r="L121" s="22"/>
      <c r="M121" s="25"/>
      <c r="N121" s="1"/>
      <c r="O121" s="62" t="s">
        <v>284</v>
      </c>
      <c r="S121" s="13"/>
      <c r="T121" s="1"/>
      <c r="U121" s="37">
        <v>0.0</v>
      </c>
      <c r="V121" s="42"/>
      <c r="W121" s="43"/>
      <c r="X121" s="105"/>
      <c r="Y121" s="38"/>
      <c r="Z121" s="41"/>
      <c r="AA121" s="135"/>
      <c r="AB121" s="206" t="str">
        <f t="shared" si="4"/>
        <v/>
      </c>
      <c r="AC121" s="211"/>
      <c r="AD121" s="1"/>
    </row>
    <row r="122" ht="16.5" hidden="1" customHeight="1" outlineLevel="1">
      <c r="A122" s="1"/>
      <c r="B122" s="215"/>
      <c r="C122" s="216"/>
      <c r="D122" s="216"/>
      <c r="E122" s="217"/>
      <c r="F122" s="218"/>
      <c r="G122" s="216"/>
      <c r="H122" s="216"/>
      <c r="I122" s="216"/>
      <c r="J122" s="216"/>
      <c r="K122" s="216"/>
      <c r="L122" s="216"/>
      <c r="M122" s="199"/>
      <c r="N122" s="1"/>
      <c r="O122" s="62" t="s">
        <v>285</v>
      </c>
      <c r="S122" s="13"/>
      <c r="T122" s="1"/>
      <c r="U122" s="37">
        <v>0.0</v>
      </c>
      <c r="V122" s="42"/>
      <c r="W122" s="43"/>
      <c r="X122" s="105"/>
      <c r="Y122" s="38"/>
      <c r="Z122" s="41"/>
      <c r="AA122" s="135"/>
      <c r="AB122" s="206" t="str">
        <f t="shared" si="4"/>
        <v/>
      </c>
      <c r="AC122" s="211"/>
      <c r="AD122" s="1"/>
    </row>
    <row r="123" ht="16.5" hidden="1" customHeight="1" outlineLevel="1">
      <c r="A123" s="1"/>
      <c r="B123" s="215"/>
      <c r="C123" s="216"/>
      <c r="D123" s="216"/>
      <c r="E123" s="217"/>
      <c r="F123" s="218"/>
      <c r="G123" s="216"/>
      <c r="H123" s="216"/>
      <c r="I123" s="216"/>
      <c r="J123" s="216"/>
      <c r="K123" s="216"/>
      <c r="L123" s="216"/>
      <c r="M123" s="199"/>
      <c r="N123" s="1"/>
      <c r="O123" s="62" t="s">
        <v>286</v>
      </c>
      <c r="S123" s="13"/>
      <c r="T123" s="1"/>
      <c r="U123" s="37">
        <v>0.0</v>
      </c>
      <c r="V123" s="42"/>
      <c r="W123" s="43"/>
      <c r="X123" s="105"/>
      <c r="Y123" s="38"/>
      <c r="Z123" s="41"/>
      <c r="AA123" s="219"/>
      <c r="AB123" s="206" t="str">
        <f t="shared" si="4"/>
        <v/>
      </c>
      <c r="AC123" s="211"/>
      <c r="AD123" s="1"/>
    </row>
    <row r="124" ht="16.5" hidden="1" customHeight="1" outlineLevel="1">
      <c r="A124" s="1"/>
      <c r="B124" s="215"/>
      <c r="C124" s="216"/>
      <c r="D124" s="216"/>
      <c r="E124" s="217"/>
      <c r="F124" s="218"/>
      <c r="G124" s="216"/>
      <c r="H124" s="216"/>
      <c r="I124" s="216"/>
      <c r="J124" s="216"/>
      <c r="K124" s="216"/>
      <c r="L124" s="216"/>
      <c r="M124" s="199"/>
      <c r="N124" s="1"/>
      <c r="O124" s="62" t="s">
        <v>287</v>
      </c>
      <c r="S124" s="13"/>
      <c r="T124" s="1"/>
      <c r="U124" s="37">
        <v>0.0</v>
      </c>
      <c r="V124" s="42"/>
      <c r="W124" s="43"/>
      <c r="X124" s="105"/>
      <c r="Y124" s="38"/>
      <c r="Z124" s="41"/>
      <c r="AA124" s="135"/>
      <c r="AB124" s="206" t="str">
        <f t="shared" si="4"/>
        <v/>
      </c>
      <c r="AC124" s="211"/>
      <c r="AD124" s="1"/>
    </row>
    <row r="125" ht="16.5" hidden="1" customHeight="1" outlineLevel="1">
      <c r="A125" s="1"/>
      <c r="B125" s="215"/>
      <c r="C125" s="216"/>
      <c r="D125" s="216"/>
      <c r="E125" s="217"/>
      <c r="F125" s="218"/>
      <c r="G125" s="216"/>
      <c r="H125" s="216"/>
      <c r="I125" s="216"/>
      <c r="J125" s="216"/>
      <c r="K125" s="216"/>
      <c r="L125" s="216"/>
      <c r="M125" s="199"/>
      <c r="N125" s="1"/>
      <c r="O125" s="62" t="s">
        <v>288</v>
      </c>
      <c r="S125" s="13"/>
      <c r="T125" s="1"/>
      <c r="U125" s="37">
        <v>0.0</v>
      </c>
      <c r="V125" s="42"/>
      <c r="W125" s="43"/>
      <c r="X125" s="105"/>
      <c r="Y125" s="38"/>
      <c r="Z125" s="41"/>
      <c r="AA125" s="219"/>
      <c r="AB125" s="206" t="str">
        <f t="shared" si="4"/>
        <v/>
      </c>
      <c r="AC125" s="211"/>
      <c r="AD125" s="1"/>
    </row>
    <row r="126" ht="16.5" hidden="1" customHeight="1" outlineLevel="1">
      <c r="A126" s="1"/>
      <c r="B126" s="215"/>
      <c r="C126" s="216"/>
      <c r="D126" s="216"/>
      <c r="E126" s="217"/>
      <c r="F126" s="218"/>
      <c r="G126" s="216"/>
      <c r="H126" s="216"/>
      <c r="I126" s="216"/>
      <c r="J126" s="216"/>
      <c r="K126" s="216"/>
      <c r="L126" s="216"/>
      <c r="M126" s="199"/>
      <c r="N126" s="1"/>
      <c r="O126" s="62" t="s">
        <v>289</v>
      </c>
      <c r="S126" s="13"/>
      <c r="T126" s="1"/>
      <c r="U126" s="37">
        <v>0.0</v>
      </c>
      <c r="V126" s="42"/>
      <c r="W126" s="43"/>
      <c r="X126" s="105"/>
      <c r="Y126" s="38"/>
      <c r="Z126" s="41"/>
      <c r="AA126" s="219"/>
      <c r="AB126" s="206" t="str">
        <f t="shared" si="4"/>
        <v/>
      </c>
      <c r="AC126" s="211"/>
      <c r="AD126" s="1"/>
    </row>
    <row r="127" ht="16.5" hidden="1" customHeight="1" outlineLevel="1">
      <c r="A127" s="1"/>
      <c r="B127" s="220"/>
      <c r="C127" s="216"/>
      <c r="D127" s="216"/>
      <c r="E127" s="217"/>
      <c r="F127" s="198"/>
      <c r="G127" s="216"/>
      <c r="H127" s="216"/>
      <c r="I127" s="216"/>
      <c r="J127" s="216"/>
      <c r="K127" s="216"/>
      <c r="L127" s="216"/>
      <c r="M127" s="199"/>
      <c r="N127" s="1"/>
      <c r="O127" s="80" t="s">
        <v>290</v>
      </c>
      <c r="T127" s="1"/>
      <c r="U127" s="37">
        <v>0.0</v>
      </c>
      <c r="V127" s="42"/>
      <c r="W127" s="43"/>
      <c r="X127" s="105"/>
      <c r="Y127" s="38"/>
      <c r="Z127" s="41"/>
      <c r="AA127" s="219"/>
      <c r="AB127" s="206" t="str">
        <f t="shared" si="4"/>
        <v/>
      </c>
      <c r="AC127" s="211"/>
      <c r="AD127" s="1"/>
    </row>
    <row r="128" ht="16.5" hidden="1" customHeight="1" outlineLevel="1">
      <c r="A128" s="1"/>
      <c r="B128" s="215"/>
      <c r="C128" s="216"/>
      <c r="D128" s="216"/>
      <c r="E128" s="217"/>
      <c r="F128" s="218"/>
      <c r="G128" s="216"/>
      <c r="H128" s="216"/>
      <c r="I128" s="216"/>
      <c r="J128" s="216"/>
      <c r="K128" s="216"/>
      <c r="L128" s="216"/>
      <c r="M128" s="199"/>
      <c r="N128" s="1"/>
      <c r="O128" s="4"/>
      <c r="P128" s="4"/>
      <c r="Q128" s="4"/>
      <c r="R128" s="4"/>
      <c r="S128" s="4"/>
      <c r="T128" s="1"/>
      <c r="U128" s="37">
        <v>0.0</v>
      </c>
      <c r="V128" s="42"/>
      <c r="W128" s="43"/>
      <c r="X128" s="105"/>
      <c r="Y128" s="38"/>
      <c r="Z128" s="41"/>
      <c r="AA128" s="219"/>
      <c r="AB128" s="206" t="str">
        <f t="shared" si="4"/>
        <v/>
      </c>
      <c r="AC128" s="211"/>
      <c r="AD128" s="1"/>
    </row>
    <row r="129" ht="16.5" hidden="1" customHeight="1" outlineLevel="1">
      <c r="A129" s="1"/>
      <c r="B129" s="215"/>
      <c r="C129" s="216"/>
      <c r="D129" s="216"/>
      <c r="E129" s="217"/>
      <c r="F129" s="218"/>
      <c r="G129" s="216"/>
      <c r="H129" s="216"/>
      <c r="I129" s="216"/>
      <c r="J129" s="216"/>
      <c r="K129" s="216"/>
      <c r="L129" s="216"/>
      <c r="M129" s="199"/>
      <c r="N129" s="1"/>
      <c r="O129" s="6" t="s">
        <v>291</v>
      </c>
      <c r="Q129" s="6" t="s">
        <v>292</v>
      </c>
      <c r="T129" s="1"/>
      <c r="U129" s="37">
        <v>0.0</v>
      </c>
      <c r="V129" s="42"/>
      <c r="W129" s="43"/>
      <c r="X129" s="105"/>
      <c r="Y129" s="38"/>
      <c r="Z129" s="41"/>
      <c r="AA129" s="219"/>
      <c r="AB129" s="206" t="str">
        <f t="shared" si="4"/>
        <v/>
      </c>
      <c r="AC129" s="211"/>
      <c r="AD129" s="1"/>
    </row>
    <row r="130" ht="16.5" hidden="1" customHeight="1" outlineLevel="1">
      <c r="A130" s="1"/>
      <c r="B130" s="215"/>
      <c r="C130" s="216"/>
      <c r="D130" s="216"/>
      <c r="E130" s="217"/>
      <c r="F130" s="218"/>
      <c r="G130" s="216"/>
      <c r="H130" s="216"/>
      <c r="I130" s="216"/>
      <c r="J130" s="216"/>
      <c r="K130" s="216"/>
      <c r="L130" s="216"/>
      <c r="M130" s="199"/>
      <c r="N130" s="1"/>
      <c r="O130" s="240"/>
      <c r="P130" s="131"/>
      <c r="Q130" s="241"/>
      <c r="R130" s="35"/>
      <c r="S130" s="36"/>
      <c r="T130" s="1"/>
      <c r="U130" s="37">
        <v>0.0</v>
      </c>
      <c r="V130" s="42"/>
      <c r="W130" s="43"/>
      <c r="X130" s="105"/>
      <c r="Y130" s="38"/>
      <c r="Z130" s="41"/>
      <c r="AA130" s="219"/>
      <c r="AB130" s="206" t="str">
        <f t="shared" si="4"/>
        <v/>
      </c>
      <c r="AC130" s="211"/>
      <c r="AD130" s="1"/>
    </row>
    <row r="131" ht="16.5" hidden="1" customHeight="1" outlineLevel="1">
      <c r="A131" s="1"/>
      <c r="B131" s="215"/>
      <c r="C131" s="216"/>
      <c r="D131" s="216"/>
      <c r="E131" s="217"/>
      <c r="F131" s="218"/>
      <c r="G131" s="216"/>
      <c r="H131" s="216"/>
      <c r="I131" s="216"/>
      <c r="J131" s="216"/>
      <c r="K131" s="216"/>
      <c r="L131" s="216"/>
      <c r="M131" s="199"/>
      <c r="N131" s="1"/>
      <c r="O131" s="242"/>
      <c r="P131" s="105"/>
      <c r="Q131" s="224"/>
      <c r="R131" s="43"/>
      <c r="S131" s="44"/>
      <c r="T131" s="1"/>
      <c r="U131" s="37">
        <v>0.0</v>
      </c>
      <c r="V131" s="42"/>
      <c r="W131" s="43"/>
      <c r="X131" s="105"/>
      <c r="Y131" s="38"/>
      <c r="Z131" s="41"/>
      <c r="AA131" s="219"/>
      <c r="AB131" s="206" t="str">
        <f t="shared" si="4"/>
        <v/>
      </c>
      <c r="AC131" s="211"/>
      <c r="AD131" s="1"/>
    </row>
    <row r="132" ht="16.5" hidden="1" customHeight="1" outlineLevel="1">
      <c r="A132" s="1"/>
      <c r="B132" s="215"/>
      <c r="C132" s="216"/>
      <c r="D132" s="216"/>
      <c r="E132" s="217"/>
      <c r="F132" s="218"/>
      <c r="G132" s="216"/>
      <c r="H132" s="216"/>
      <c r="I132" s="216"/>
      <c r="J132" s="216"/>
      <c r="K132" s="216"/>
      <c r="L132" s="216"/>
      <c r="M132" s="199"/>
      <c r="N132" s="1"/>
      <c r="O132" s="242"/>
      <c r="P132" s="105"/>
      <c r="Q132" s="224"/>
      <c r="R132" s="43"/>
      <c r="S132" s="44"/>
      <c r="T132" s="1"/>
      <c r="U132" s="37">
        <v>0.0</v>
      </c>
      <c r="V132" s="42"/>
      <c r="W132" s="43"/>
      <c r="X132" s="105"/>
      <c r="Y132" s="38"/>
      <c r="Z132" s="41"/>
      <c r="AA132" s="219"/>
      <c r="AB132" s="206" t="str">
        <f t="shared" si="4"/>
        <v/>
      </c>
      <c r="AC132" s="211"/>
      <c r="AD132" s="1"/>
    </row>
    <row r="133" ht="16.5" hidden="1" customHeight="1" outlineLevel="1">
      <c r="A133" s="1"/>
      <c r="B133" s="215"/>
      <c r="C133" s="216"/>
      <c r="D133" s="216"/>
      <c r="E133" s="217"/>
      <c r="F133" s="218"/>
      <c r="G133" s="216"/>
      <c r="H133" s="216"/>
      <c r="I133" s="216"/>
      <c r="J133" s="216"/>
      <c r="K133" s="216"/>
      <c r="L133" s="216"/>
      <c r="M133" s="199"/>
      <c r="N133" s="1"/>
      <c r="O133" s="242"/>
      <c r="P133" s="105"/>
      <c r="Q133" s="224"/>
      <c r="R133" s="43"/>
      <c r="S133" s="44"/>
      <c r="T133" s="1"/>
      <c r="U133" s="37">
        <v>0.0</v>
      </c>
      <c r="V133" s="42"/>
      <c r="W133" s="43"/>
      <c r="X133" s="105"/>
      <c r="Y133" s="38"/>
      <c r="Z133" s="41"/>
      <c r="AA133" s="219"/>
      <c r="AB133" s="206" t="str">
        <f t="shared" si="4"/>
        <v/>
      </c>
      <c r="AC133" s="211"/>
      <c r="AD133" s="1"/>
    </row>
    <row r="134" ht="16.5" hidden="1" customHeight="1" outlineLevel="1">
      <c r="A134" s="1"/>
      <c r="B134" s="83"/>
      <c r="C134" s="27"/>
      <c r="D134" s="27"/>
      <c r="E134" s="28"/>
      <c r="F134" s="84"/>
      <c r="G134" s="27"/>
      <c r="H134" s="27"/>
      <c r="I134" s="27"/>
      <c r="J134" s="27"/>
      <c r="K134" s="27"/>
      <c r="L134" s="27"/>
      <c r="M134" s="30"/>
      <c r="N134" s="1"/>
      <c r="O134" s="243"/>
      <c r="P134" s="141"/>
      <c r="Q134" s="227"/>
      <c r="R134" s="50"/>
      <c r="S134" s="51"/>
      <c r="T134" s="1"/>
      <c r="U134" s="37">
        <v>0.0</v>
      </c>
      <c r="V134" s="42"/>
      <c r="W134" s="43"/>
      <c r="X134" s="105"/>
      <c r="Y134" s="38"/>
      <c r="Z134" s="41"/>
      <c r="AA134" s="219"/>
      <c r="AB134" s="206" t="str">
        <f t="shared" si="4"/>
        <v/>
      </c>
      <c r="AC134" s="211"/>
      <c r="AD134" s="1"/>
    </row>
    <row r="135" ht="16.5" hidden="1" customHeight="1" outlineLevel="1">
      <c r="A135" s="1"/>
      <c r="B135" s="80" t="s">
        <v>200</v>
      </c>
      <c r="T135" s="1"/>
      <c r="U135" s="37">
        <v>0.0</v>
      </c>
      <c r="V135" s="42"/>
      <c r="W135" s="43"/>
      <c r="X135" s="105"/>
      <c r="Y135" s="38"/>
      <c r="Z135" s="41"/>
      <c r="AA135" s="219"/>
      <c r="AB135" s="206" t="str">
        <f t="shared" si="4"/>
        <v/>
      </c>
      <c r="AC135" s="211"/>
      <c r="AD135" s="1"/>
    </row>
    <row r="136" ht="16.5" hidden="1" customHeight="1" outlineLevel="1">
      <c r="A136" s="1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1"/>
      <c r="U136" s="37">
        <v>0.0</v>
      </c>
      <c r="V136" s="42"/>
      <c r="W136" s="43"/>
      <c r="X136" s="105"/>
      <c r="Y136" s="38"/>
      <c r="Z136" s="41"/>
      <c r="AA136" s="135"/>
      <c r="AB136" s="206" t="str">
        <f t="shared" si="4"/>
        <v/>
      </c>
      <c r="AC136" s="211"/>
      <c r="AD136" s="1"/>
    </row>
    <row r="137" ht="16.5" hidden="1" customHeight="1" outlineLevel="1">
      <c r="A137" s="1"/>
      <c r="B137" s="6" t="s">
        <v>202</v>
      </c>
      <c r="D137" s="6" t="s">
        <v>293</v>
      </c>
      <c r="G137" s="6" t="s">
        <v>13</v>
      </c>
      <c r="H137" s="6" t="s">
        <v>203</v>
      </c>
      <c r="I137" s="6" t="s">
        <v>206</v>
      </c>
      <c r="K137" s="6" t="s">
        <v>207</v>
      </c>
      <c r="N137" s="6" t="s">
        <v>294</v>
      </c>
      <c r="P137" s="6" t="s">
        <v>208</v>
      </c>
      <c r="S137" s="6" t="s">
        <v>295</v>
      </c>
      <c r="T137" s="1"/>
      <c r="U137" s="37">
        <v>0.0</v>
      </c>
      <c r="V137" s="42"/>
      <c r="W137" s="43"/>
      <c r="X137" s="105"/>
      <c r="Y137" s="38"/>
      <c r="Z137" s="41"/>
      <c r="AA137" s="219"/>
      <c r="AB137" s="206" t="str">
        <f t="shared" si="4"/>
        <v/>
      </c>
      <c r="AC137" s="211"/>
      <c r="AD137" s="1"/>
    </row>
    <row r="138" ht="16.5" hidden="1" customHeight="1" outlineLevel="1">
      <c r="A138" s="1"/>
      <c r="B138" s="130"/>
      <c r="C138" s="131"/>
      <c r="D138" s="241"/>
      <c r="E138" s="35"/>
      <c r="F138" s="131"/>
      <c r="G138" s="201"/>
      <c r="H138" s="33"/>
      <c r="I138" s="228"/>
      <c r="J138" s="131"/>
      <c r="K138" s="33"/>
      <c r="L138" s="228"/>
      <c r="M138" s="131"/>
      <c r="N138" s="229"/>
      <c r="O138" s="131"/>
      <c r="P138" s="34"/>
      <c r="Q138" s="35"/>
      <c r="R138" s="131"/>
      <c r="S138" s="90"/>
      <c r="T138" s="1"/>
      <c r="U138" s="37">
        <v>0.0</v>
      </c>
      <c r="V138" s="42"/>
      <c r="W138" s="43"/>
      <c r="X138" s="105"/>
      <c r="Y138" s="38"/>
      <c r="Z138" s="41"/>
      <c r="AA138" s="219"/>
      <c r="AB138" s="206" t="str">
        <f t="shared" si="4"/>
        <v/>
      </c>
      <c r="AC138" s="211"/>
      <c r="AD138" s="1"/>
    </row>
    <row r="139" ht="16.5" hidden="1" customHeight="1" outlineLevel="1">
      <c r="A139" s="1"/>
      <c r="B139" s="134"/>
      <c r="C139" s="105"/>
      <c r="D139" s="225"/>
      <c r="E139" s="43"/>
      <c r="F139" s="105"/>
      <c r="G139" s="39"/>
      <c r="H139" s="40"/>
      <c r="I139" s="230"/>
      <c r="J139" s="105"/>
      <c r="K139" s="40"/>
      <c r="L139" s="230"/>
      <c r="M139" s="105"/>
      <c r="N139" s="231"/>
      <c r="O139" s="105"/>
      <c r="P139" s="121"/>
      <c r="Q139" s="43"/>
      <c r="R139" s="105"/>
      <c r="S139" s="93"/>
      <c r="T139" s="1"/>
      <c r="U139" s="37">
        <v>0.0</v>
      </c>
      <c r="V139" s="42"/>
      <c r="W139" s="43"/>
      <c r="X139" s="105"/>
      <c r="Y139" s="38"/>
      <c r="Z139" s="41"/>
      <c r="AA139" s="219"/>
      <c r="AB139" s="206" t="str">
        <f t="shared" si="4"/>
        <v/>
      </c>
      <c r="AC139" s="211"/>
      <c r="AD139" s="1"/>
    </row>
    <row r="140" ht="16.5" hidden="1" customHeight="1" outlineLevel="1">
      <c r="A140" s="1"/>
      <c r="B140" s="134"/>
      <c r="C140" s="105"/>
      <c r="D140" s="225"/>
      <c r="E140" s="43"/>
      <c r="F140" s="105"/>
      <c r="G140" s="39"/>
      <c r="H140" s="40"/>
      <c r="I140" s="230"/>
      <c r="J140" s="105"/>
      <c r="K140" s="40"/>
      <c r="L140" s="230"/>
      <c r="M140" s="105"/>
      <c r="N140" s="231"/>
      <c r="O140" s="105"/>
      <c r="P140" s="121"/>
      <c r="Q140" s="43"/>
      <c r="R140" s="105"/>
      <c r="S140" s="93"/>
      <c r="T140" s="1"/>
      <c r="U140" s="45">
        <v>0.0</v>
      </c>
      <c r="V140" s="49"/>
      <c r="W140" s="50"/>
      <c r="X140" s="141"/>
      <c r="Y140" s="46"/>
      <c r="Z140" s="48"/>
      <c r="AA140" s="232"/>
      <c r="AB140" s="233" t="str">
        <f t="shared" si="4"/>
        <v/>
      </c>
      <c r="AC140" s="234"/>
      <c r="AD140" s="1"/>
    </row>
    <row r="141" ht="16.5" hidden="1" customHeight="1" outlineLevel="1">
      <c r="A141" s="1"/>
      <c r="B141" s="151"/>
      <c r="C141" s="141"/>
      <c r="D141" s="235"/>
      <c r="E141" s="50"/>
      <c r="F141" s="141"/>
      <c r="G141" s="183"/>
      <c r="H141" s="47"/>
      <c r="I141" s="236"/>
      <c r="J141" s="141"/>
      <c r="K141" s="47"/>
      <c r="L141" s="236"/>
      <c r="M141" s="141"/>
      <c r="N141" s="237"/>
      <c r="O141" s="141"/>
      <c r="P141" s="144"/>
      <c r="Q141" s="50"/>
      <c r="R141" s="141"/>
      <c r="S141" s="97"/>
      <c r="T141" s="1"/>
      <c r="U141" s="95">
        <f>SUM(U112:U140)</f>
        <v>0</v>
      </c>
      <c r="V141" s="1"/>
      <c r="W141" s="1"/>
      <c r="X141" s="1"/>
      <c r="Y141" s="1"/>
      <c r="Z141" s="62" t="s">
        <v>34</v>
      </c>
      <c r="AA141" s="238" t="str">
        <f>SUMPRODUCT(U112:U140,AB112:AB140)&amp;""</f>
        <v>0</v>
      </c>
      <c r="AB141" s="9"/>
      <c r="AC141" s="239">
        <f>SUMPRODUCT(U112:U140,AC112:AC140)</f>
        <v>0</v>
      </c>
      <c r="AD141" s="1"/>
    </row>
    <row r="142" ht="6.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</sheetData>
  <mergeCells count="621">
    <mergeCell ref="K9:L9"/>
    <mergeCell ref="M9:N9"/>
    <mergeCell ref="K10:O11"/>
    <mergeCell ref="R11:S11"/>
    <mergeCell ref="C10:D10"/>
    <mergeCell ref="E10:G10"/>
    <mergeCell ref="H10:I10"/>
    <mergeCell ref="C12:D12"/>
    <mergeCell ref="E12:G12"/>
    <mergeCell ref="H12:I12"/>
    <mergeCell ref="M12:N12"/>
    <mergeCell ref="V8:X8"/>
    <mergeCell ref="V9:X9"/>
    <mergeCell ref="V10:X10"/>
    <mergeCell ref="V11:X11"/>
    <mergeCell ref="V12:X12"/>
    <mergeCell ref="V13:X13"/>
    <mergeCell ref="V14:X14"/>
    <mergeCell ref="V15:X15"/>
    <mergeCell ref="V16:X16"/>
    <mergeCell ref="V22:X22"/>
    <mergeCell ref="V23:X23"/>
    <mergeCell ref="V24:X24"/>
    <mergeCell ref="V25:X25"/>
    <mergeCell ref="V26:X26"/>
    <mergeCell ref="V34:X34"/>
    <mergeCell ref="V35:X35"/>
    <mergeCell ref="V27:X27"/>
    <mergeCell ref="V28:X28"/>
    <mergeCell ref="V29:X29"/>
    <mergeCell ref="V30:X30"/>
    <mergeCell ref="V31:X31"/>
    <mergeCell ref="V32:X32"/>
    <mergeCell ref="V33:X33"/>
    <mergeCell ref="B16:E16"/>
    <mergeCell ref="F16:M16"/>
    <mergeCell ref="O16:R16"/>
    <mergeCell ref="B17:E17"/>
    <mergeCell ref="F17:M17"/>
    <mergeCell ref="O17:R17"/>
    <mergeCell ref="V17:X17"/>
    <mergeCell ref="B18:E18"/>
    <mergeCell ref="F18:M18"/>
    <mergeCell ref="O18:R18"/>
    <mergeCell ref="V18:X18"/>
    <mergeCell ref="F19:M19"/>
    <mergeCell ref="O19:R19"/>
    <mergeCell ref="V19:X19"/>
    <mergeCell ref="B1:AC1"/>
    <mergeCell ref="B2:AC2"/>
    <mergeCell ref="C3:I3"/>
    <mergeCell ref="S3:U3"/>
    <mergeCell ref="C4:E4"/>
    <mergeCell ref="F4:G4"/>
    <mergeCell ref="H4:I4"/>
    <mergeCell ref="K4:O5"/>
    <mergeCell ref="Q4:S5"/>
    <mergeCell ref="U4:AC5"/>
    <mergeCell ref="H6:I6"/>
    <mergeCell ref="M6:N6"/>
    <mergeCell ref="R6:S6"/>
    <mergeCell ref="V6:X6"/>
    <mergeCell ref="C6:F6"/>
    <mergeCell ref="B7:G7"/>
    <mergeCell ref="H7:I7"/>
    <mergeCell ref="K7:L7"/>
    <mergeCell ref="M7:N7"/>
    <mergeCell ref="R7:S7"/>
    <mergeCell ref="V7:X7"/>
    <mergeCell ref="K8:L8"/>
    <mergeCell ref="M8:N8"/>
    <mergeCell ref="R8:S8"/>
    <mergeCell ref="C9:D9"/>
    <mergeCell ref="E9:G9"/>
    <mergeCell ref="H9:I9"/>
    <mergeCell ref="R9:S9"/>
    <mergeCell ref="R10:S10"/>
    <mergeCell ref="R12:S12"/>
    <mergeCell ref="R13:S13"/>
    <mergeCell ref="C13:D13"/>
    <mergeCell ref="E13:G13"/>
    <mergeCell ref="H13:I13"/>
    <mergeCell ref="K13:L13"/>
    <mergeCell ref="M13:N13"/>
    <mergeCell ref="B14:M15"/>
    <mergeCell ref="O14:S15"/>
    <mergeCell ref="V20:X20"/>
    <mergeCell ref="V21:X21"/>
    <mergeCell ref="N32:O32"/>
    <mergeCell ref="P32:R32"/>
    <mergeCell ref="B29:E29"/>
    <mergeCell ref="F29:M29"/>
    <mergeCell ref="O29:P29"/>
    <mergeCell ref="Q29:S29"/>
    <mergeCell ref="B30:S31"/>
    <mergeCell ref="B32:C32"/>
    <mergeCell ref="D32:F32"/>
    <mergeCell ref="I32:J32"/>
    <mergeCell ref="K32:M32"/>
    <mergeCell ref="D33:F33"/>
    <mergeCell ref="I33:J33"/>
    <mergeCell ref="L33:M33"/>
    <mergeCell ref="N33:O33"/>
    <mergeCell ref="P33:R33"/>
    <mergeCell ref="B33:C33"/>
    <mergeCell ref="B34:C34"/>
    <mergeCell ref="D34:F34"/>
    <mergeCell ref="I34:J34"/>
    <mergeCell ref="L34:M34"/>
    <mergeCell ref="N34:O34"/>
    <mergeCell ref="P34:R34"/>
    <mergeCell ref="B19:E19"/>
    <mergeCell ref="B20:E20"/>
    <mergeCell ref="F20:M20"/>
    <mergeCell ref="O20:R20"/>
    <mergeCell ref="B21:E21"/>
    <mergeCell ref="F21:M21"/>
    <mergeCell ref="O21:R21"/>
    <mergeCell ref="O24:P24"/>
    <mergeCell ref="Q24:S24"/>
    <mergeCell ref="B22:E22"/>
    <mergeCell ref="F22:M22"/>
    <mergeCell ref="O22:S23"/>
    <mergeCell ref="B23:E23"/>
    <mergeCell ref="F23:M23"/>
    <mergeCell ref="B24:E24"/>
    <mergeCell ref="F24:M24"/>
    <mergeCell ref="B25:E25"/>
    <mergeCell ref="F25:M25"/>
    <mergeCell ref="O25:P25"/>
    <mergeCell ref="Q25:S25"/>
    <mergeCell ref="F26:M26"/>
    <mergeCell ref="O26:P26"/>
    <mergeCell ref="Q26:S26"/>
    <mergeCell ref="O28:P28"/>
    <mergeCell ref="Q28:S28"/>
    <mergeCell ref="B26:E26"/>
    <mergeCell ref="B27:E27"/>
    <mergeCell ref="F27:M27"/>
    <mergeCell ref="O27:P27"/>
    <mergeCell ref="Q27:S27"/>
    <mergeCell ref="B28:E28"/>
    <mergeCell ref="F28:M28"/>
    <mergeCell ref="I35:J35"/>
    <mergeCell ref="I36:J36"/>
    <mergeCell ref="V50:X50"/>
    <mergeCell ref="V51:X51"/>
    <mergeCell ref="V52:X52"/>
    <mergeCell ref="V53:X53"/>
    <mergeCell ref="V54:X54"/>
    <mergeCell ref="V55:X55"/>
    <mergeCell ref="V56:X56"/>
    <mergeCell ref="V64:X64"/>
    <mergeCell ref="V65:X65"/>
    <mergeCell ref="V66:X66"/>
    <mergeCell ref="V67:X67"/>
    <mergeCell ref="V68:X68"/>
    <mergeCell ref="V69:X69"/>
    <mergeCell ref="V70:X70"/>
    <mergeCell ref="V57:X57"/>
    <mergeCell ref="V58:X58"/>
    <mergeCell ref="V59:X59"/>
    <mergeCell ref="V60:X60"/>
    <mergeCell ref="V61:X61"/>
    <mergeCell ref="V62:X62"/>
    <mergeCell ref="V63:X63"/>
    <mergeCell ref="B35:C35"/>
    <mergeCell ref="D35:F35"/>
    <mergeCell ref="L35:M35"/>
    <mergeCell ref="N35:O35"/>
    <mergeCell ref="P35:R35"/>
    <mergeCell ref="B36:C36"/>
    <mergeCell ref="D36:F36"/>
    <mergeCell ref="P36:R36"/>
    <mergeCell ref="L36:M36"/>
    <mergeCell ref="N36:O36"/>
    <mergeCell ref="AA36:AB36"/>
    <mergeCell ref="B37:AC37"/>
    <mergeCell ref="C38:I38"/>
    <mergeCell ref="S38:U38"/>
    <mergeCell ref="C39:E39"/>
    <mergeCell ref="Q39:S40"/>
    <mergeCell ref="R41:S41"/>
    <mergeCell ref="R42:S42"/>
    <mergeCell ref="R44:S44"/>
    <mergeCell ref="R45:S45"/>
    <mergeCell ref="R46:S46"/>
    <mergeCell ref="R47:S47"/>
    <mergeCell ref="R48:S48"/>
    <mergeCell ref="F39:G39"/>
    <mergeCell ref="H39:I39"/>
    <mergeCell ref="K39:O40"/>
    <mergeCell ref="U39:AC40"/>
    <mergeCell ref="H41:I41"/>
    <mergeCell ref="M41:N41"/>
    <mergeCell ref="V41:X41"/>
    <mergeCell ref="M43:N43"/>
    <mergeCell ref="R43:S43"/>
    <mergeCell ref="V44:X44"/>
    <mergeCell ref="V45:X45"/>
    <mergeCell ref="V46:X46"/>
    <mergeCell ref="V47:X47"/>
    <mergeCell ref="C41:F41"/>
    <mergeCell ref="H42:I42"/>
    <mergeCell ref="K42:L42"/>
    <mergeCell ref="M42:N42"/>
    <mergeCell ref="V42:X42"/>
    <mergeCell ref="K43:L43"/>
    <mergeCell ref="V43:X43"/>
    <mergeCell ref="C48:D48"/>
    <mergeCell ref="E48:G48"/>
    <mergeCell ref="H48:I48"/>
    <mergeCell ref="K48:L48"/>
    <mergeCell ref="M48:N48"/>
    <mergeCell ref="V48:X48"/>
    <mergeCell ref="V49:X49"/>
    <mergeCell ref="O61:P61"/>
    <mergeCell ref="O62:P62"/>
    <mergeCell ref="O56:R56"/>
    <mergeCell ref="O57:S58"/>
    <mergeCell ref="O59:P59"/>
    <mergeCell ref="Q59:S59"/>
    <mergeCell ref="O60:P60"/>
    <mergeCell ref="Q60:S60"/>
    <mergeCell ref="Q61:S61"/>
    <mergeCell ref="Q62:S62"/>
    <mergeCell ref="B65:S66"/>
    <mergeCell ref="I67:J67"/>
    <mergeCell ref="K67:M67"/>
    <mergeCell ref="N67:O67"/>
    <mergeCell ref="P67:R67"/>
    <mergeCell ref="F62:M62"/>
    <mergeCell ref="F63:M63"/>
    <mergeCell ref="O63:P63"/>
    <mergeCell ref="Q63:S63"/>
    <mergeCell ref="F64:M64"/>
    <mergeCell ref="O64:P64"/>
    <mergeCell ref="Q64:S64"/>
    <mergeCell ref="B61:E61"/>
    <mergeCell ref="B62:E62"/>
    <mergeCell ref="B63:E63"/>
    <mergeCell ref="B64:E64"/>
    <mergeCell ref="B67:C67"/>
    <mergeCell ref="D67:F67"/>
    <mergeCell ref="B68:C68"/>
    <mergeCell ref="B69:C69"/>
    <mergeCell ref="D69:F69"/>
    <mergeCell ref="B70:C70"/>
    <mergeCell ref="D70:F70"/>
    <mergeCell ref="B71:C71"/>
    <mergeCell ref="D71:F71"/>
    <mergeCell ref="F74:G74"/>
    <mergeCell ref="C74:E74"/>
    <mergeCell ref="C76:F76"/>
    <mergeCell ref="B77:G77"/>
    <mergeCell ref="C79:D79"/>
    <mergeCell ref="E79:G79"/>
    <mergeCell ref="C80:D80"/>
    <mergeCell ref="E80:G80"/>
    <mergeCell ref="B89:E89"/>
    <mergeCell ref="B90:E90"/>
    <mergeCell ref="B91:E91"/>
    <mergeCell ref="B92:E92"/>
    <mergeCell ref="C82:D82"/>
    <mergeCell ref="E82:G82"/>
    <mergeCell ref="C83:D83"/>
    <mergeCell ref="E83:G83"/>
    <mergeCell ref="B86:E86"/>
    <mergeCell ref="B87:E87"/>
    <mergeCell ref="B88:E88"/>
    <mergeCell ref="B42:G42"/>
    <mergeCell ref="C44:D44"/>
    <mergeCell ref="E44:G44"/>
    <mergeCell ref="H44:I44"/>
    <mergeCell ref="K44:L44"/>
    <mergeCell ref="M44:N44"/>
    <mergeCell ref="C45:D45"/>
    <mergeCell ref="E45:G45"/>
    <mergeCell ref="H45:I45"/>
    <mergeCell ref="K45:O46"/>
    <mergeCell ref="C47:D47"/>
    <mergeCell ref="E47:G47"/>
    <mergeCell ref="H47:I47"/>
    <mergeCell ref="M47:N47"/>
    <mergeCell ref="B49:M50"/>
    <mergeCell ref="O49:S50"/>
    <mergeCell ref="B51:E51"/>
    <mergeCell ref="F51:M51"/>
    <mergeCell ref="O51:R51"/>
    <mergeCell ref="F52:M52"/>
    <mergeCell ref="O52:R52"/>
    <mergeCell ref="B52:E52"/>
    <mergeCell ref="B53:E53"/>
    <mergeCell ref="F53:M53"/>
    <mergeCell ref="O53:R53"/>
    <mergeCell ref="B54:E54"/>
    <mergeCell ref="F54:M54"/>
    <mergeCell ref="O54:R54"/>
    <mergeCell ref="B55:E55"/>
    <mergeCell ref="F55:M55"/>
    <mergeCell ref="O55:R55"/>
    <mergeCell ref="B56:E56"/>
    <mergeCell ref="F56:M56"/>
    <mergeCell ref="B57:E57"/>
    <mergeCell ref="F57:M57"/>
    <mergeCell ref="B58:E58"/>
    <mergeCell ref="F58:M58"/>
    <mergeCell ref="B59:E59"/>
    <mergeCell ref="F59:M59"/>
    <mergeCell ref="B60:E60"/>
    <mergeCell ref="F60:M60"/>
    <mergeCell ref="F61:M61"/>
    <mergeCell ref="L69:M69"/>
    <mergeCell ref="L70:M70"/>
    <mergeCell ref="N69:O69"/>
    <mergeCell ref="P69:R69"/>
    <mergeCell ref="N70:O70"/>
    <mergeCell ref="P70:R70"/>
    <mergeCell ref="D68:F68"/>
    <mergeCell ref="I68:J68"/>
    <mergeCell ref="L68:M68"/>
    <mergeCell ref="N68:O68"/>
    <mergeCell ref="P68:R68"/>
    <mergeCell ref="I69:J69"/>
    <mergeCell ref="I70:J70"/>
    <mergeCell ref="I71:J71"/>
    <mergeCell ref="L71:M71"/>
    <mergeCell ref="N71:O71"/>
    <mergeCell ref="P71:R71"/>
    <mergeCell ref="AA71:AB71"/>
    <mergeCell ref="B72:AC72"/>
    <mergeCell ref="S73:U73"/>
    <mergeCell ref="R76:S76"/>
    <mergeCell ref="V76:X76"/>
    <mergeCell ref="C73:I73"/>
    <mergeCell ref="H74:I74"/>
    <mergeCell ref="K74:O75"/>
    <mergeCell ref="Q74:S75"/>
    <mergeCell ref="U74:AC75"/>
    <mergeCell ref="H76:I76"/>
    <mergeCell ref="M76:N76"/>
    <mergeCell ref="V77:X77"/>
    <mergeCell ref="V78:X78"/>
    <mergeCell ref="B128:E128"/>
    <mergeCell ref="B129:E129"/>
    <mergeCell ref="F129:M129"/>
    <mergeCell ref="Q129:S129"/>
    <mergeCell ref="B130:E130"/>
    <mergeCell ref="F130:M130"/>
    <mergeCell ref="Q130:S130"/>
    <mergeCell ref="B131:E131"/>
    <mergeCell ref="F131:M131"/>
    <mergeCell ref="Q131:S131"/>
    <mergeCell ref="B132:E132"/>
    <mergeCell ref="F132:M132"/>
    <mergeCell ref="O132:P132"/>
    <mergeCell ref="Q132:S132"/>
    <mergeCell ref="V136:X136"/>
    <mergeCell ref="V137:X137"/>
    <mergeCell ref="V129:X129"/>
    <mergeCell ref="V130:X130"/>
    <mergeCell ref="V131:X131"/>
    <mergeCell ref="V132:X132"/>
    <mergeCell ref="V133:X133"/>
    <mergeCell ref="V134:X134"/>
    <mergeCell ref="V135:X135"/>
    <mergeCell ref="F134:M134"/>
    <mergeCell ref="B135:S136"/>
    <mergeCell ref="D137:F137"/>
    <mergeCell ref="I137:J137"/>
    <mergeCell ref="K137:M137"/>
    <mergeCell ref="N137:O137"/>
    <mergeCell ref="P137:R137"/>
    <mergeCell ref="B137:C137"/>
    <mergeCell ref="D138:F138"/>
    <mergeCell ref="I138:J138"/>
    <mergeCell ref="L138:M138"/>
    <mergeCell ref="N138:O138"/>
    <mergeCell ref="P138:R138"/>
    <mergeCell ref="V138:X138"/>
    <mergeCell ref="B138:C138"/>
    <mergeCell ref="D139:F139"/>
    <mergeCell ref="I139:J139"/>
    <mergeCell ref="L139:M139"/>
    <mergeCell ref="N139:O139"/>
    <mergeCell ref="P139:R139"/>
    <mergeCell ref="V139:X139"/>
    <mergeCell ref="B139:C139"/>
    <mergeCell ref="D140:F140"/>
    <mergeCell ref="I140:J140"/>
    <mergeCell ref="L140:M140"/>
    <mergeCell ref="N140:O140"/>
    <mergeCell ref="P140:R140"/>
    <mergeCell ref="V140:X140"/>
    <mergeCell ref="AA141:AB141"/>
    <mergeCell ref="O123:R123"/>
    <mergeCell ref="O124:R124"/>
    <mergeCell ref="V124:X124"/>
    <mergeCell ref="B122:E122"/>
    <mergeCell ref="F122:M122"/>
    <mergeCell ref="O122:R122"/>
    <mergeCell ref="B123:E123"/>
    <mergeCell ref="F123:M123"/>
    <mergeCell ref="B124:E124"/>
    <mergeCell ref="F124:M124"/>
    <mergeCell ref="B125:E125"/>
    <mergeCell ref="F125:M125"/>
    <mergeCell ref="O125:R125"/>
    <mergeCell ref="V125:X125"/>
    <mergeCell ref="F126:M126"/>
    <mergeCell ref="O126:R126"/>
    <mergeCell ref="V126:X126"/>
    <mergeCell ref="B126:E126"/>
    <mergeCell ref="B127:E127"/>
    <mergeCell ref="F127:M127"/>
    <mergeCell ref="O127:S128"/>
    <mergeCell ref="V127:X127"/>
    <mergeCell ref="F128:M128"/>
    <mergeCell ref="V128:X128"/>
    <mergeCell ref="O129:P129"/>
    <mergeCell ref="O130:P130"/>
    <mergeCell ref="O131:P131"/>
    <mergeCell ref="B133:E133"/>
    <mergeCell ref="F133:M133"/>
    <mergeCell ref="O133:P133"/>
    <mergeCell ref="Q133:S133"/>
    <mergeCell ref="B134:E134"/>
    <mergeCell ref="O134:P134"/>
    <mergeCell ref="Q134:S134"/>
    <mergeCell ref="B140:C140"/>
    <mergeCell ref="B141:C141"/>
    <mergeCell ref="D141:F141"/>
    <mergeCell ref="I141:J141"/>
    <mergeCell ref="L141:M141"/>
    <mergeCell ref="N141:O141"/>
    <mergeCell ref="P141:R141"/>
    <mergeCell ref="F91:M91"/>
    <mergeCell ref="F92:M92"/>
    <mergeCell ref="O92:S93"/>
    <mergeCell ref="F93:M93"/>
    <mergeCell ref="F88:M88"/>
    <mergeCell ref="O88:R88"/>
    <mergeCell ref="F89:M89"/>
    <mergeCell ref="O89:R89"/>
    <mergeCell ref="F90:M90"/>
    <mergeCell ref="O90:R90"/>
    <mergeCell ref="O91:R91"/>
    <mergeCell ref="H77:I77"/>
    <mergeCell ref="K77:L77"/>
    <mergeCell ref="M77:N77"/>
    <mergeCell ref="R77:S77"/>
    <mergeCell ref="M78:N78"/>
    <mergeCell ref="H79:I79"/>
    <mergeCell ref="M79:N79"/>
    <mergeCell ref="R78:S78"/>
    <mergeCell ref="R79:S79"/>
    <mergeCell ref="V79:X79"/>
    <mergeCell ref="R80:S80"/>
    <mergeCell ref="V80:X80"/>
    <mergeCell ref="R81:S81"/>
    <mergeCell ref="R82:S82"/>
    <mergeCell ref="K78:L78"/>
    <mergeCell ref="K79:L79"/>
    <mergeCell ref="H80:I80"/>
    <mergeCell ref="K80:O81"/>
    <mergeCell ref="H82:I82"/>
    <mergeCell ref="M82:N82"/>
    <mergeCell ref="H83:I83"/>
    <mergeCell ref="O86:R86"/>
    <mergeCell ref="O87:R87"/>
    <mergeCell ref="V88:X88"/>
    <mergeCell ref="V89:X89"/>
    <mergeCell ref="V90:X90"/>
    <mergeCell ref="V91:X91"/>
    <mergeCell ref="V92:X92"/>
    <mergeCell ref="V93:X93"/>
    <mergeCell ref="V94:X94"/>
    <mergeCell ref="V81:X81"/>
    <mergeCell ref="V82:X82"/>
    <mergeCell ref="V83:X83"/>
    <mergeCell ref="V84:X84"/>
    <mergeCell ref="V85:X85"/>
    <mergeCell ref="V86:X86"/>
    <mergeCell ref="V87:X87"/>
    <mergeCell ref="K83:L83"/>
    <mergeCell ref="M83:N83"/>
    <mergeCell ref="R83:S83"/>
    <mergeCell ref="B84:M85"/>
    <mergeCell ref="O84:S85"/>
    <mergeCell ref="F86:M86"/>
    <mergeCell ref="F87:M87"/>
    <mergeCell ref="B97:E97"/>
    <mergeCell ref="B98:E98"/>
    <mergeCell ref="F98:M98"/>
    <mergeCell ref="F99:M99"/>
    <mergeCell ref="O99:P99"/>
    <mergeCell ref="Q99:S99"/>
    <mergeCell ref="B100:S101"/>
    <mergeCell ref="B99:E99"/>
    <mergeCell ref="B102:C102"/>
    <mergeCell ref="D102:F102"/>
    <mergeCell ref="K102:M102"/>
    <mergeCell ref="N102:O102"/>
    <mergeCell ref="D103:F103"/>
    <mergeCell ref="P103:R103"/>
    <mergeCell ref="B103:C103"/>
    <mergeCell ref="B104:C104"/>
    <mergeCell ref="D104:F104"/>
    <mergeCell ref="I104:J104"/>
    <mergeCell ref="L104:M104"/>
    <mergeCell ref="N104:O104"/>
    <mergeCell ref="P104:R104"/>
    <mergeCell ref="I105:J105"/>
    <mergeCell ref="I106:J106"/>
    <mergeCell ref="L106:M106"/>
    <mergeCell ref="N106:O106"/>
    <mergeCell ref="B105:C105"/>
    <mergeCell ref="D105:F105"/>
    <mergeCell ref="L105:M105"/>
    <mergeCell ref="N105:O105"/>
    <mergeCell ref="P105:R105"/>
    <mergeCell ref="B106:C106"/>
    <mergeCell ref="D106:F106"/>
    <mergeCell ref="P106:R106"/>
    <mergeCell ref="L103:M103"/>
    <mergeCell ref="N103:O103"/>
    <mergeCell ref="V103:X103"/>
    <mergeCell ref="V104:X104"/>
    <mergeCell ref="V105:X105"/>
    <mergeCell ref="AA106:AB106"/>
    <mergeCell ref="B107:AC107"/>
    <mergeCell ref="C108:I108"/>
    <mergeCell ref="S108:U108"/>
    <mergeCell ref="F109:G109"/>
    <mergeCell ref="H109:I109"/>
    <mergeCell ref="K109:O110"/>
    <mergeCell ref="Q109:S110"/>
    <mergeCell ref="U109:AC110"/>
    <mergeCell ref="H112:I112"/>
    <mergeCell ref="K112:L112"/>
    <mergeCell ref="C109:E109"/>
    <mergeCell ref="C111:F111"/>
    <mergeCell ref="H111:I111"/>
    <mergeCell ref="M111:N111"/>
    <mergeCell ref="V111:X111"/>
    <mergeCell ref="B112:G112"/>
    <mergeCell ref="M112:N112"/>
    <mergeCell ref="V112:X112"/>
    <mergeCell ref="O95:P95"/>
    <mergeCell ref="Q95:S95"/>
    <mergeCell ref="V95:X95"/>
    <mergeCell ref="B93:E93"/>
    <mergeCell ref="B94:E94"/>
    <mergeCell ref="F94:M94"/>
    <mergeCell ref="O94:P94"/>
    <mergeCell ref="Q94:S94"/>
    <mergeCell ref="B95:E95"/>
    <mergeCell ref="F95:M95"/>
    <mergeCell ref="B96:E96"/>
    <mergeCell ref="F96:M96"/>
    <mergeCell ref="O96:P96"/>
    <mergeCell ref="Q96:S96"/>
    <mergeCell ref="V96:X96"/>
    <mergeCell ref="F97:M97"/>
    <mergeCell ref="V97:X97"/>
    <mergeCell ref="V101:X101"/>
    <mergeCell ref="P102:R102"/>
    <mergeCell ref="V102:X102"/>
    <mergeCell ref="O97:P97"/>
    <mergeCell ref="Q97:S97"/>
    <mergeCell ref="O98:P98"/>
    <mergeCell ref="Q98:S98"/>
    <mergeCell ref="V98:X98"/>
    <mergeCell ref="V99:X99"/>
    <mergeCell ref="V100:X100"/>
    <mergeCell ref="I102:J102"/>
    <mergeCell ref="I103:J103"/>
    <mergeCell ref="K114:L114"/>
    <mergeCell ref="M114:N114"/>
    <mergeCell ref="R111:S111"/>
    <mergeCell ref="R112:S112"/>
    <mergeCell ref="K113:L113"/>
    <mergeCell ref="M113:N113"/>
    <mergeCell ref="R113:S113"/>
    <mergeCell ref="C114:D114"/>
    <mergeCell ref="R114:S114"/>
    <mergeCell ref="R116:S116"/>
    <mergeCell ref="R117:S117"/>
    <mergeCell ref="R118:S118"/>
    <mergeCell ref="E114:G114"/>
    <mergeCell ref="H114:I114"/>
    <mergeCell ref="E115:G115"/>
    <mergeCell ref="H115:I115"/>
    <mergeCell ref="K115:O116"/>
    <mergeCell ref="R115:S115"/>
    <mergeCell ref="M117:N117"/>
    <mergeCell ref="C115:D115"/>
    <mergeCell ref="C117:D117"/>
    <mergeCell ref="E117:G117"/>
    <mergeCell ref="H117:I117"/>
    <mergeCell ref="C118:D118"/>
    <mergeCell ref="E118:G118"/>
    <mergeCell ref="H118:I118"/>
    <mergeCell ref="V120:X120"/>
    <mergeCell ref="V121:X121"/>
    <mergeCell ref="V122:X122"/>
    <mergeCell ref="V123:X123"/>
    <mergeCell ref="V113:X113"/>
    <mergeCell ref="V114:X114"/>
    <mergeCell ref="V115:X115"/>
    <mergeCell ref="V116:X116"/>
    <mergeCell ref="V117:X117"/>
    <mergeCell ref="V118:X118"/>
    <mergeCell ref="V119:X119"/>
    <mergeCell ref="K118:L118"/>
    <mergeCell ref="M118:N118"/>
    <mergeCell ref="B119:M120"/>
    <mergeCell ref="O119:S120"/>
    <mergeCell ref="B121:E121"/>
    <mergeCell ref="F121:M121"/>
    <mergeCell ref="O121:R121"/>
  </mergeCells>
  <conditionalFormatting sqref="AA36 AA71 AA106 AA141">
    <cfRule type="expression" dxfId="8" priority="1">
      <formula>VALUE(AA36)&gt;VALUE(C12)</formula>
    </cfRule>
  </conditionalFormatting>
  <conditionalFormatting sqref="V3 V38 V73 V108">
    <cfRule type="expression" dxfId="8" priority="2">
      <formula>V3&gt;VALUE(C12)</formula>
    </cfRule>
  </conditionalFormatting>
  <dataValidations>
    <dataValidation type="list" allowBlank="1" showErrorMessage="1" sqref="C9 C44 C79 C114">
      <formula1>T_VSpB_N</formula1>
    </dataValidation>
    <dataValidation type="list" allowBlank="1" showErrorMessage="1" sqref="C6 C41 C76 C111">
      <formula1>T_VSk_N</formula1>
    </dataValidation>
    <dataValidation type="list" allowBlank="1" sqref="D33:D36 D68:D71 D103:D106 D138:D141">
      <formula1>T_VWM</formula1>
    </dataValidation>
  </dataValidation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5F06"/>
    <outlinePr summaryBelow="0" summaryRight="0"/>
  </sheetPr>
  <sheetViews>
    <sheetView showGridLines="0" workbookViewId="0"/>
  </sheetViews>
  <sheetFormatPr customHeight="1" defaultColWidth="14.43" defaultRowHeight="15.75" outlineLevelCol="1" outlineLevelRow="1"/>
  <cols>
    <col customWidth="1" min="1" max="1" width="1.29"/>
    <col customWidth="1" min="2" max="2" width="16.14"/>
    <col customWidth="1" min="3" max="4" width="7.0"/>
    <col customWidth="1" min="5" max="5" width="5.86"/>
    <col customWidth="1" min="6" max="6" width="3.57"/>
    <col customWidth="1" min="7" max="7" width="9.29"/>
    <col customWidth="1" min="8" max="8" width="4.71"/>
    <col customWidth="1" min="9" max="9" width="2.43"/>
    <col customWidth="1" min="10" max="10" width="4.71"/>
    <col customWidth="1" min="11" max="11" width="5.86"/>
    <col customWidth="1" min="12" max="12" width="3.57"/>
    <col customWidth="1" min="13" max="13" width="2.43"/>
    <col customWidth="1" min="14" max="14" width="4.71"/>
    <col customWidth="1" min="15" max="15" width="7.0"/>
    <col customWidth="1" min="16" max="16" width="4.71"/>
    <col customWidth="1" min="17" max="17" width="13.86"/>
    <col customWidth="1" min="18" max="18" width="4.71"/>
    <col customWidth="1" min="19" max="19" width="9.29"/>
    <col customWidth="1" min="20" max="20" width="4.71"/>
    <col customWidth="1" min="21" max="21" width="3.57"/>
    <col customWidth="1" min="22" max="22" width="12.71"/>
    <col customWidth="1" min="23" max="23" width="1.29"/>
    <col customWidth="1" min="24" max="24" width="13.86"/>
    <col customWidth="1" min="25" max="25" width="27.57" outlineLevel="1"/>
    <col customWidth="1" min="26" max="26" width="4.71" outlineLevel="1"/>
    <col customWidth="1" min="27" max="27" width="9.29" outlineLevel="1"/>
    <col customWidth="1" min="28" max="28" width="10.43" outlineLevel="1"/>
    <col customWidth="1" min="29" max="29" width="16.14" outlineLevel="1"/>
    <col customWidth="1" min="30" max="30" width="1.29"/>
  </cols>
  <sheetData>
    <row r="1" ht="16.5" customHeight="1">
      <c r="A1" s="1"/>
      <c r="B1" s="187" t="s">
        <v>299</v>
      </c>
      <c r="AD1" s="1"/>
    </row>
    <row r="2" ht="36.0" customHeight="1">
      <c r="A2" s="1"/>
      <c r="B2" s="3" t="s">
        <v>300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1"/>
    </row>
    <row r="3" ht="16.5" customHeight="1">
      <c r="A3" s="1"/>
      <c r="B3" s="62" t="s">
        <v>301</v>
      </c>
      <c r="C3" s="8"/>
      <c r="D3" s="15"/>
      <c r="E3" s="15"/>
      <c r="F3" s="15"/>
      <c r="G3" s="15"/>
      <c r="H3" s="15"/>
      <c r="I3" s="9"/>
      <c r="J3" s="62" t="s">
        <v>302</v>
      </c>
      <c r="N3" s="8"/>
      <c r="O3" s="15"/>
      <c r="P3" s="9"/>
      <c r="Q3" s="1"/>
      <c r="R3" s="1"/>
      <c r="S3" s="62" t="s">
        <v>261</v>
      </c>
      <c r="V3" s="188">
        <f>VALUE(AA47)</f>
        <v>0</v>
      </c>
      <c r="W3" s="189" t="s">
        <v>262</v>
      </c>
      <c r="X3" s="244" t="str">
        <f>IF(G39="","--",G39)</f>
        <v>0</v>
      </c>
      <c r="Y3" s="1"/>
      <c r="Z3" s="1"/>
      <c r="AA3" s="1"/>
      <c r="AB3" s="1"/>
      <c r="AC3" s="1"/>
      <c r="AD3" s="1"/>
    </row>
    <row r="4" ht="16.5" customHeight="1" outlineLevel="1">
      <c r="A4" s="1"/>
      <c r="B4" s="62" t="s">
        <v>231</v>
      </c>
      <c r="C4" s="191">
        <v>0.0</v>
      </c>
      <c r="D4" s="15"/>
      <c r="E4" s="9"/>
      <c r="F4" s="62" t="s">
        <v>230</v>
      </c>
      <c r="H4" s="11">
        <v>0.0</v>
      </c>
      <c r="I4" s="9"/>
      <c r="J4" s="1"/>
      <c r="K4" s="80" t="s">
        <v>303</v>
      </c>
      <c r="P4" s="1"/>
      <c r="Q4" s="80" t="s">
        <v>263</v>
      </c>
      <c r="T4" s="1"/>
      <c r="U4" s="80" t="s">
        <v>264</v>
      </c>
      <c r="AD4" s="1"/>
    </row>
    <row r="5" ht="16.5" customHeight="1" outlineLevel="1">
      <c r="A5" s="1"/>
      <c r="B5" s="1"/>
      <c r="C5" s="1"/>
      <c r="D5" s="1"/>
      <c r="E5" s="1"/>
      <c r="F5" s="1"/>
      <c r="G5" s="1"/>
      <c r="H5" s="1"/>
      <c r="I5" s="1"/>
      <c r="J5" s="1"/>
      <c r="K5" s="4"/>
      <c r="L5" s="4"/>
      <c r="M5" s="4"/>
      <c r="N5" s="4"/>
      <c r="O5" s="4"/>
      <c r="P5" s="1"/>
      <c r="Q5" s="4"/>
      <c r="R5" s="4"/>
      <c r="S5" s="4"/>
      <c r="T5" s="1"/>
      <c r="U5" s="4"/>
      <c r="V5" s="4"/>
      <c r="W5" s="4"/>
      <c r="X5" s="4"/>
      <c r="Y5" s="4"/>
      <c r="Z5" s="4"/>
      <c r="AA5" s="4"/>
      <c r="AB5" s="4"/>
      <c r="AC5" s="4"/>
      <c r="AD5" s="1"/>
    </row>
    <row r="6" ht="16.5" customHeight="1" outlineLevel="1">
      <c r="A6" s="1"/>
      <c r="B6" s="62" t="s">
        <v>281</v>
      </c>
      <c r="C6" s="245"/>
      <c r="D6" s="22"/>
      <c r="E6" s="25"/>
      <c r="F6" s="1"/>
      <c r="G6" s="246" t="s">
        <v>247</v>
      </c>
      <c r="H6" s="15"/>
      <c r="I6" s="9"/>
      <c r="J6" s="1"/>
      <c r="K6" s="1"/>
      <c r="L6" s="1"/>
      <c r="M6" s="6" t="s">
        <v>66</v>
      </c>
      <c r="O6" s="6" t="s">
        <v>34</v>
      </c>
      <c r="P6" s="1"/>
      <c r="Q6" s="193"/>
      <c r="R6" s="194"/>
      <c r="S6" s="25"/>
      <c r="T6" s="1"/>
      <c r="U6" s="6" t="s">
        <v>244</v>
      </c>
      <c r="V6" s="6" t="s">
        <v>245</v>
      </c>
      <c r="Y6" s="6" t="s">
        <v>54</v>
      </c>
      <c r="Z6" s="6" t="s">
        <v>230</v>
      </c>
      <c r="AA6" s="6" t="s">
        <v>246</v>
      </c>
      <c r="AB6" s="6" t="s">
        <v>266</v>
      </c>
      <c r="AC6" s="6" t="s">
        <v>231</v>
      </c>
      <c r="AD6" s="1"/>
    </row>
    <row r="7" ht="16.5" customHeight="1" outlineLevel="1">
      <c r="A7" s="1"/>
      <c r="C7" s="85"/>
      <c r="D7" s="27"/>
      <c r="E7" s="30"/>
      <c r="F7" s="1"/>
      <c r="G7" s="1"/>
      <c r="H7" s="1"/>
      <c r="I7" s="1"/>
      <c r="J7" s="1"/>
      <c r="K7" s="62" t="s">
        <v>281</v>
      </c>
      <c r="M7" s="11">
        <v>0.0</v>
      </c>
      <c r="N7" s="16"/>
      <c r="O7" s="196">
        <v>0.0</v>
      </c>
      <c r="P7" s="1"/>
      <c r="Q7" s="197"/>
      <c r="R7" s="198"/>
      <c r="S7" s="199"/>
      <c r="T7" s="1"/>
      <c r="U7" s="31">
        <v>0.0</v>
      </c>
      <c r="V7" s="200"/>
      <c r="W7" s="35"/>
      <c r="X7" s="131"/>
      <c r="Y7" s="201"/>
      <c r="Z7" s="202"/>
      <c r="AA7" s="132" t="s">
        <v>269</v>
      </c>
      <c r="AB7" s="203" t="str">
        <f t="shared" ref="AB7:AB46" si="1">IFS(AA7="",,ISNUMBER(AA7),AA7&amp;"",RIGHT(AA7,2)="kg",LEFT(AA7,LEN(AA7)-2)*0.001&amp;"",RIGHT(AA7,3)="kgs",LEFT(AA7,LEN(AA7)-3)*0.001&amp;"",RIGHT(AA7,3)="ton",VALUE(LEFT(AA7,LEN(AA7)-3))&amp;"",RIGHT(AA7,4)="tons",VALUE(LEFT(AA7,LEN(AA7)-4))&amp;"",AND(RIGHT(AA7,1)="t",NOT(ISERROR(VALUE(LEFT(AA7,LEN(AA7)-1))))),VALUE(LEFT(AA7,LEN(AA7)-1))&amp;"",TRUE,"?")</f>
        <v>0.035</v>
      </c>
      <c r="AC7" s="204">
        <v>0.0</v>
      </c>
      <c r="AD7" s="205"/>
    </row>
    <row r="8" ht="16.5" customHeight="1" outlineLevel="1">
      <c r="A8" s="1"/>
      <c r="B8" s="62" t="s">
        <v>304</v>
      </c>
      <c r="C8" s="245"/>
      <c r="D8" s="22"/>
      <c r="E8" s="25"/>
      <c r="F8" s="62" t="s">
        <v>305</v>
      </c>
      <c r="H8" s="11">
        <v>0.0</v>
      </c>
      <c r="I8" s="9"/>
      <c r="J8" s="1"/>
      <c r="K8" s="80" t="s">
        <v>306</v>
      </c>
      <c r="P8" s="1"/>
      <c r="Q8" s="197"/>
      <c r="R8" s="198"/>
      <c r="S8" s="199"/>
      <c r="T8" s="1"/>
      <c r="U8" s="37">
        <v>0.0</v>
      </c>
      <c r="V8" s="42"/>
      <c r="W8" s="43"/>
      <c r="X8" s="105"/>
      <c r="Y8" s="38"/>
      <c r="Z8" s="41"/>
      <c r="AA8" s="135"/>
      <c r="AB8" s="206" t="str">
        <f t="shared" si="1"/>
        <v/>
      </c>
      <c r="AC8" s="207"/>
      <c r="AD8" s="205"/>
    </row>
    <row r="9" ht="16.5" customHeight="1" outlineLevel="1">
      <c r="A9" s="1"/>
      <c r="C9" s="85"/>
      <c r="D9" s="27"/>
      <c r="E9" s="30"/>
      <c r="F9" s="1"/>
      <c r="G9" s="1"/>
      <c r="H9" s="1"/>
      <c r="I9" s="1"/>
      <c r="J9" s="1"/>
      <c r="K9" s="4"/>
      <c r="L9" s="4"/>
      <c r="M9" s="4"/>
      <c r="N9" s="4"/>
      <c r="O9" s="4"/>
      <c r="P9" s="1"/>
      <c r="Q9" s="197"/>
      <c r="R9" s="198"/>
      <c r="S9" s="199"/>
      <c r="T9" s="1"/>
      <c r="U9" s="37">
        <v>0.0</v>
      </c>
      <c r="V9" s="121"/>
      <c r="W9" s="43"/>
      <c r="X9" s="105"/>
      <c r="Y9" s="38"/>
      <c r="Z9" s="41"/>
      <c r="AA9" s="135"/>
      <c r="AB9" s="206" t="str">
        <f t="shared" si="1"/>
        <v/>
      </c>
      <c r="AC9" s="207"/>
      <c r="AD9" s="205"/>
    </row>
    <row r="10" ht="16.5" customHeight="1" outlineLevel="1">
      <c r="A10" s="1"/>
      <c r="B10" s="62" t="s">
        <v>141</v>
      </c>
      <c r="C10" s="245"/>
      <c r="D10" s="22"/>
      <c r="E10" s="25"/>
      <c r="F10" s="62" t="s">
        <v>307</v>
      </c>
      <c r="H10" s="11">
        <v>1.0</v>
      </c>
      <c r="I10" s="9"/>
      <c r="J10" s="1"/>
      <c r="K10" s="62" t="s">
        <v>308</v>
      </c>
      <c r="O10" s="13">
        <v>0.0</v>
      </c>
      <c r="P10" s="1"/>
      <c r="Q10" s="197"/>
      <c r="R10" s="198"/>
      <c r="S10" s="199"/>
      <c r="T10" s="1"/>
      <c r="U10" s="37">
        <v>0.0</v>
      </c>
      <c r="V10" s="42"/>
      <c r="W10" s="43"/>
      <c r="X10" s="105"/>
      <c r="Y10" s="38"/>
      <c r="Z10" s="41"/>
      <c r="AA10" s="135"/>
      <c r="AB10" s="206" t="str">
        <f t="shared" si="1"/>
        <v/>
      </c>
      <c r="AC10" s="211"/>
      <c r="AD10" s="205"/>
    </row>
    <row r="11" ht="16.5" customHeight="1" outlineLevel="1">
      <c r="A11" s="1"/>
      <c r="C11" s="85"/>
      <c r="D11" s="27"/>
      <c r="E11" s="30"/>
      <c r="F11" s="1"/>
      <c r="G11" s="1"/>
      <c r="H11" s="1"/>
      <c r="I11" s="1"/>
      <c r="J11" s="1"/>
      <c r="K11" s="62" t="s">
        <v>309</v>
      </c>
      <c r="O11" s="13">
        <v>1.0</v>
      </c>
      <c r="P11" s="1"/>
      <c r="Q11" s="197"/>
      <c r="R11" s="198"/>
      <c r="S11" s="199"/>
      <c r="T11" s="1"/>
      <c r="U11" s="37">
        <v>0.0</v>
      </c>
      <c r="V11" s="42"/>
      <c r="W11" s="43"/>
      <c r="X11" s="105"/>
      <c r="Y11" s="38"/>
      <c r="Z11" s="41"/>
      <c r="AA11" s="135"/>
      <c r="AB11" s="206" t="str">
        <f t="shared" si="1"/>
        <v/>
      </c>
      <c r="AC11" s="211"/>
      <c r="AD11" s="205"/>
    </row>
    <row r="12" ht="16.5" customHeight="1" outlineLevel="1">
      <c r="A12" s="1"/>
      <c r="B12" s="62" t="s">
        <v>138</v>
      </c>
      <c r="C12" s="245"/>
      <c r="D12" s="22"/>
      <c r="E12" s="25"/>
      <c r="F12" s="62" t="s">
        <v>310</v>
      </c>
      <c r="H12" s="11">
        <v>1.0</v>
      </c>
      <c r="I12" s="9"/>
      <c r="J12" s="1"/>
      <c r="K12" s="62" t="s">
        <v>311</v>
      </c>
      <c r="O12" s="13">
        <v>0.0</v>
      </c>
      <c r="P12" s="1"/>
      <c r="Q12" s="197"/>
      <c r="R12" s="198"/>
      <c r="S12" s="199"/>
      <c r="T12" s="1"/>
      <c r="U12" s="37">
        <v>0.0</v>
      </c>
      <c r="V12" s="42"/>
      <c r="W12" s="43"/>
      <c r="X12" s="105"/>
      <c r="Y12" s="38"/>
      <c r="Z12" s="41"/>
      <c r="AA12" s="135"/>
      <c r="AB12" s="206" t="str">
        <f t="shared" si="1"/>
        <v/>
      </c>
      <c r="AC12" s="211"/>
      <c r="AD12" s="205"/>
    </row>
    <row r="13" ht="16.5" customHeight="1" outlineLevel="1">
      <c r="A13" s="1"/>
      <c r="C13" s="85"/>
      <c r="D13" s="27"/>
      <c r="E13" s="30"/>
      <c r="F13" s="1"/>
      <c r="G13" s="1"/>
      <c r="H13" s="1"/>
      <c r="I13" s="1"/>
      <c r="J13" s="1"/>
      <c r="K13" s="62" t="s">
        <v>312</v>
      </c>
      <c r="O13" s="13">
        <v>0.0</v>
      </c>
      <c r="P13" s="1"/>
      <c r="Q13" s="197"/>
      <c r="R13" s="198"/>
      <c r="S13" s="199"/>
      <c r="T13" s="1"/>
      <c r="U13" s="37">
        <v>0.0</v>
      </c>
      <c r="V13" s="42"/>
      <c r="W13" s="43"/>
      <c r="X13" s="105"/>
      <c r="Y13" s="38"/>
      <c r="Z13" s="41"/>
      <c r="AA13" s="135"/>
      <c r="AB13" s="206" t="str">
        <f t="shared" si="1"/>
        <v/>
      </c>
      <c r="AC13" s="211"/>
      <c r="AD13" s="205"/>
    </row>
    <row r="14" ht="16.5" customHeight="1" outlineLevel="1">
      <c r="A14" s="1"/>
      <c r="B14" s="62" t="s">
        <v>313</v>
      </c>
      <c r="C14" s="245"/>
      <c r="D14" s="22"/>
      <c r="E14" s="23"/>
      <c r="F14" s="194"/>
      <c r="G14" s="22"/>
      <c r="H14" s="22"/>
      <c r="I14" s="25"/>
      <c r="J14" s="1"/>
      <c r="K14" s="62" t="s">
        <v>314</v>
      </c>
      <c r="O14" s="13">
        <v>0.0</v>
      </c>
      <c r="P14" s="1"/>
      <c r="Q14" s="197"/>
      <c r="R14" s="198"/>
      <c r="S14" s="199"/>
      <c r="T14" s="1"/>
      <c r="U14" s="37">
        <v>0.0</v>
      </c>
      <c r="V14" s="42"/>
      <c r="W14" s="43"/>
      <c r="X14" s="105"/>
      <c r="Y14" s="38"/>
      <c r="Z14" s="41"/>
      <c r="AA14" s="135"/>
      <c r="AB14" s="206" t="str">
        <f t="shared" si="1"/>
        <v/>
      </c>
      <c r="AC14" s="211"/>
      <c r="AD14" s="205"/>
    </row>
    <row r="15" ht="16.5" customHeight="1" outlineLevel="1">
      <c r="A15" s="1"/>
      <c r="C15" s="85"/>
      <c r="D15" s="27"/>
      <c r="E15" s="28"/>
      <c r="F15" s="214"/>
      <c r="G15" s="27"/>
      <c r="H15" s="27"/>
      <c r="I15" s="30"/>
      <c r="J15" s="1"/>
      <c r="K15" s="62" t="s">
        <v>315</v>
      </c>
      <c r="O15" s="13">
        <v>0.0</v>
      </c>
      <c r="P15" s="1"/>
      <c r="Q15" s="197"/>
      <c r="R15" s="198"/>
      <c r="S15" s="199"/>
      <c r="T15" s="1"/>
      <c r="U15" s="37">
        <v>0.0</v>
      </c>
      <c r="V15" s="42"/>
      <c r="W15" s="43"/>
      <c r="X15" s="105"/>
      <c r="Y15" s="38"/>
      <c r="Z15" s="41"/>
      <c r="AA15" s="135"/>
      <c r="AB15" s="206" t="str">
        <f t="shared" si="1"/>
        <v/>
      </c>
      <c r="AC15" s="211"/>
      <c r="AD15" s="205"/>
    </row>
    <row r="16" ht="16.5" customHeight="1" outlineLevel="1">
      <c r="A16" s="1"/>
      <c r="B16" s="62" t="s">
        <v>316</v>
      </c>
      <c r="C16" s="245"/>
      <c r="D16" s="22"/>
      <c r="E16" s="23"/>
      <c r="F16" s="194"/>
      <c r="G16" s="22"/>
      <c r="H16" s="22"/>
      <c r="I16" s="25"/>
      <c r="J16" s="1"/>
      <c r="K16" s="62" t="s">
        <v>317</v>
      </c>
      <c r="O16" s="13">
        <v>0.0</v>
      </c>
      <c r="P16" s="1"/>
      <c r="Q16" s="197"/>
      <c r="R16" s="198"/>
      <c r="S16" s="199"/>
      <c r="T16" s="1"/>
      <c r="U16" s="37">
        <v>0.0</v>
      </c>
      <c r="V16" s="42"/>
      <c r="W16" s="43"/>
      <c r="X16" s="105"/>
      <c r="Y16" s="38"/>
      <c r="Z16" s="41"/>
      <c r="AA16" s="135"/>
      <c r="AB16" s="206" t="str">
        <f t="shared" si="1"/>
        <v/>
      </c>
      <c r="AC16" s="211"/>
      <c r="AD16" s="205"/>
    </row>
    <row r="17" ht="16.5" customHeight="1" outlineLevel="1">
      <c r="A17" s="1"/>
      <c r="C17" s="85"/>
      <c r="D17" s="27"/>
      <c r="E17" s="28"/>
      <c r="F17" s="214"/>
      <c r="G17" s="27"/>
      <c r="H17" s="27"/>
      <c r="I17" s="30"/>
      <c r="J17" s="1"/>
      <c r="K17" s="62" t="s">
        <v>318</v>
      </c>
      <c r="O17" s="13">
        <v>0.0</v>
      </c>
      <c r="P17" s="1"/>
      <c r="Q17" s="197"/>
      <c r="R17" s="198"/>
      <c r="S17" s="199"/>
      <c r="T17" s="1"/>
      <c r="U17" s="37">
        <v>0.0</v>
      </c>
      <c r="V17" s="42"/>
      <c r="W17" s="43"/>
      <c r="X17" s="105"/>
      <c r="Y17" s="38"/>
      <c r="Z17" s="41"/>
      <c r="AA17" s="135"/>
      <c r="AB17" s="206" t="str">
        <f t="shared" si="1"/>
        <v/>
      </c>
      <c r="AC17" s="211"/>
      <c r="AD17" s="205"/>
    </row>
    <row r="18" ht="16.5" customHeight="1" outlineLevel="1">
      <c r="A18" s="1"/>
      <c r="B18" s="62" t="s">
        <v>319</v>
      </c>
      <c r="C18" s="245"/>
      <c r="D18" s="22"/>
      <c r="E18" s="23"/>
      <c r="F18" s="194"/>
      <c r="G18" s="22"/>
      <c r="H18" s="22"/>
      <c r="I18" s="25"/>
      <c r="J18" s="1"/>
      <c r="K18" s="62" t="s">
        <v>320</v>
      </c>
      <c r="O18" s="13">
        <v>0.0</v>
      </c>
      <c r="P18" s="1"/>
      <c r="Q18" s="197"/>
      <c r="R18" s="198"/>
      <c r="S18" s="199"/>
      <c r="T18" s="1"/>
      <c r="U18" s="37">
        <v>0.0</v>
      </c>
      <c r="V18" s="42"/>
      <c r="W18" s="43"/>
      <c r="X18" s="105"/>
      <c r="Y18" s="38"/>
      <c r="Z18" s="41"/>
      <c r="AA18" s="219"/>
      <c r="AB18" s="206" t="str">
        <f t="shared" si="1"/>
        <v/>
      </c>
      <c r="AC18" s="211"/>
      <c r="AD18" s="205"/>
    </row>
    <row r="19" ht="16.5" customHeight="1" outlineLevel="1">
      <c r="A19" s="1"/>
      <c r="C19" s="85"/>
      <c r="D19" s="27"/>
      <c r="E19" s="28"/>
      <c r="F19" s="214"/>
      <c r="G19" s="27"/>
      <c r="H19" s="27"/>
      <c r="I19" s="30"/>
      <c r="J19" s="1"/>
      <c r="K19" s="62" t="s">
        <v>321</v>
      </c>
      <c r="O19" s="13">
        <v>0.0</v>
      </c>
      <c r="P19" s="1"/>
      <c r="Q19" s="197"/>
      <c r="R19" s="198"/>
      <c r="S19" s="199"/>
      <c r="T19" s="1"/>
      <c r="U19" s="37">
        <v>0.0</v>
      </c>
      <c r="V19" s="42"/>
      <c r="W19" s="43"/>
      <c r="X19" s="105"/>
      <c r="Y19" s="38"/>
      <c r="Z19" s="41"/>
      <c r="AA19" s="135"/>
      <c r="AB19" s="206" t="str">
        <f t="shared" si="1"/>
        <v/>
      </c>
      <c r="AC19" s="211"/>
      <c r="AD19" s="205"/>
    </row>
    <row r="20" ht="16.5" customHeight="1" outlineLevel="1">
      <c r="A20" s="1"/>
      <c r="B20" s="62" t="s">
        <v>322</v>
      </c>
      <c r="C20" s="245"/>
      <c r="D20" s="22"/>
      <c r="E20" s="23"/>
      <c r="F20" s="194"/>
      <c r="G20" s="22"/>
      <c r="H20" s="22"/>
      <c r="I20" s="25"/>
      <c r="J20" s="1"/>
      <c r="K20" s="247"/>
      <c r="L20" s="15"/>
      <c r="M20" s="15"/>
      <c r="N20" s="9"/>
      <c r="O20" s="13">
        <v>0.0</v>
      </c>
      <c r="P20" s="1"/>
      <c r="Q20" s="213"/>
      <c r="R20" s="214"/>
      <c r="S20" s="30"/>
      <c r="T20" s="1"/>
      <c r="U20" s="37">
        <v>0.0</v>
      </c>
      <c r="V20" s="42"/>
      <c r="W20" s="43"/>
      <c r="X20" s="105"/>
      <c r="Y20" s="38"/>
      <c r="Z20" s="41"/>
      <c r="AA20" s="219"/>
      <c r="AB20" s="206" t="str">
        <f t="shared" si="1"/>
        <v/>
      </c>
      <c r="AC20" s="211"/>
      <c r="AD20" s="205"/>
    </row>
    <row r="21" ht="16.5" customHeight="1" outlineLevel="1">
      <c r="A21" s="1"/>
      <c r="C21" s="85"/>
      <c r="D21" s="27"/>
      <c r="E21" s="28"/>
      <c r="F21" s="214"/>
      <c r="G21" s="27"/>
      <c r="H21" s="27"/>
      <c r="I21" s="30"/>
      <c r="J21" s="1"/>
      <c r="K21" s="80" t="s">
        <v>323</v>
      </c>
      <c r="T21" s="1"/>
      <c r="U21" s="37">
        <v>0.0</v>
      </c>
      <c r="V21" s="42"/>
      <c r="W21" s="43"/>
      <c r="X21" s="105"/>
      <c r="Y21" s="38"/>
      <c r="Z21" s="41"/>
      <c r="AA21" s="219"/>
      <c r="AB21" s="206" t="str">
        <f t="shared" si="1"/>
        <v/>
      </c>
      <c r="AC21" s="211"/>
      <c r="AD21" s="205"/>
    </row>
    <row r="22" ht="16.5" customHeight="1" outlineLevel="1">
      <c r="A22" s="1"/>
      <c r="B22" s="62" t="s">
        <v>135</v>
      </c>
      <c r="C22" s="245"/>
      <c r="D22" s="22"/>
      <c r="E22" s="23"/>
      <c r="F22" s="194"/>
      <c r="G22" s="22"/>
      <c r="H22" s="22"/>
      <c r="I22" s="25"/>
      <c r="J22" s="1"/>
      <c r="K22" s="4"/>
      <c r="L22" s="4"/>
      <c r="M22" s="4"/>
      <c r="N22" s="4"/>
      <c r="O22" s="4"/>
      <c r="P22" s="4"/>
      <c r="Q22" s="4"/>
      <c r="R22" s="4"/>
      <c r="S22" s="4"/>
      <c r="T22" s="1"/>
      <c r="U22" s="37">
        <v>0.0</v>
      </c>
      <c r="V22" s="42"/>
      <c r="W22" s="43"/>
      <c r="X22" s="105"/>
      <c r="Y22" s="38"/>
      <c r="Z22" s="41"/>
      <c r="AA22" s="219"/>
      <c r="AB22" s="206" t="str">
        <f t="shared" si="1"/>
        <v/>
      </c>
      <c r="AC22" s="211"/>
      <c r="AD22" s="205"/>
    </row>
    <row r="23" ht="16.5" customHeight="1" outlineLevel="1">
      <c r="A23" s="1"/>
      <c r="C23" s="85"/>
      <c r="D23" s="27"/>
      <c r="E23" s="28"/>
      <c r="F23" s="214"/>
      <c r="G23" s="27"/>
      <c r="H23" s="27"/>
      <c r="I23" s="30"/>
      <c r="J23" s="1"/>
      <c r="K23" s="1"/>
      <c r="L23" s="1"/>
      <c r="M23" s="6" t="s">
        <v>324</v>
      </c>
      <c r="O23" s="6" t="s">
        <v>325</v>
      </c>
      <c r="P23" s="1"/>
      <c r="Q23" s="1"/>
      <c r="R23" s="1"/>
      <c r="S23" s="1"/>
      <c r="T23" s="1"/>
      <c r="U23" s="37">
        <v>0.0</v>
      </c>
      <c r="V23" s="42"/>
      <c r="W23" s="43"/>
      <c r="X23" s="105"/>
      <c r="Y23" s="38"/>
      <c r="Z23" s="41"/>
      <c r="AA23" s="219"/>
      <c r="AB23" s="206" t="str">
        <f t="shared" si="1"/>
        <v/>
      </c>
      <c r="AC23" s="211"/>
      <c r="AD23" s="205"/>
    </row>
    <row r="24" ht="16.5" customHeight="1" outlineLevel="1">
      <c r="A24" s="1"/>
      <c r="B24" s="62" t="s">
        <v>326</v>
      </c>
      <c r="C24" s="245"/>
      <c r="D24" s="22"/>
      <c r="E24" s="23"/>
      <c r="F24" s="194"/>
      <c r="G24" s="22"/>
      <c r="H24" s="22"/>
      <c r="I24" s="25"/>
      <c r="J24" s="1"/>
      <c r="K24" s="1"/>
      <c r="L24" s="1"/>
      <c r="M24" s="248">
        <f>SUM(M28:M36)</f>
        <v>0</v>
      </c>
      <c r="N24" s="16"/>
      <c r="O24" s="196">
        <v>0.0</v>
      </c>
      <c r="P24" s="127" t="s">
        <v>327</v>
      </c>
      <c r="T24" s="1"/>
      <c r="U24" s="37">
        <v>0.0</v>
      </c>
      <c r="V24" s="42"/>
      <c r="W24" s="43"/>
      <c r="X24" s="105"/>
      <c r="Y24" s="38"/>
      <c r="Z24" s="41"/>
      <c r="AA24" s="219"/>
      <c r="AB24" s="206" t="str">
        <f t="shared" si="1"/>
        <v/>
      </c>
      <c r="AC24" s="211"/>
      <c r="AD24" s="205"/>
    </row>
    <row r="25" ht="16.5" customHeight="1" outlineLevel="1">
      <c r="A25" s="1"/>
      <c r="C25" s="220"/>
      <c r="D25" s="216"/>
      <c r="E25" s="217"/>
      <c r="F25" s="198"/>
      <c r="G25" s="216"/>
      <c r="H25" s="216"/>
      <c r="I25" s="199"/>
      <c r="J25" s="1"/>
      <c r="K25" s="1"/>
      <c r="L25" s="1"/>
      <c r="M25" s="1"/>
      <c r="N25" s="1"/>
      <c r="O25" s="13">
        <v>0.0</v>
      </c>
      <c r="P25" s="127" t="s">
        <v>328</v>
      </c>
      <c r="T25" s="1"/>
      <c r="U25" s="37">
        <v>0.0</v>
      </c>
      <c r="V25" s="42"/>
      <c r="W25" s="43"/>
      <c r="X25" s="105"/>
      <c r="Y25" s="38"/>
      <c r="Z25" s="41"/>
      <c r="AA25" s="219"/>
      <c r="AB25" s="206" t="str">
        <f t="shared" si="1"/>
        <v/>
      </c>
      <c r="AC25" s="211"/>
      <c r="AD25" s="205"/>
    </row>
    <row r="26" ht="16.5" customHeight="1" outlineLevel="1">
      <c r="A26" s="1"/>
      <c r="C26" s="220"/>
      <c r="D26" s="216"/>
      <c r="E26" s="217"/>
      <c r="F26" s="198"/>
      <c r="G26" s="216"/>
      <c r="H26" s="216"/>
      <c r="I26" s="199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37">
        <v>0.0</v>
      </c>
      <c r="V26" s="42"/>
      <c r="W26" s="43"/>
      <c r="X26" s="105"/>
      <c r="Y26" s="38"/>
      <c r="Z26" s="41"/>
      <c r="AA26" s="219"/>
      <c r="AB26" s="206" t="str">
        <f t="shared" si="1"/>
        <v/>
      </c>
      <c r="AC26" s="211"/>
      <c r="AD26" s="205"/>
    </row>
    <row r="27" ht="16.5" customHeight="1" outlineLevel="1">
      <c r="A27" s="1"/>
      <c r="C27" s="249"/>
      <c r="D27" s="158"/>
      <c r="E27" s="250"/>
      <c r="F27" s="251"/>
      <c r="G27" s="158"/>
      <c r="H27" s="158"/>
      <c r="I27" s="159"/>
      <c r="J27" s="1"/>
      <c r="K27" s="61"/>
      <c r="L27" s="1"/>
      <c r="M27" s="6" t="s">
        <v>324</v>
      </c>
      <c r="O27" s="6" t="s">
        <v>329</v>
      </c>
      <c r="P27" s="1"/>
      <c r="Q27" s="1"/>
      <c r="R27" s="1"/>
      <c r="S27" s="1"/>
      <c r="T27" s="1"/>
      <c r="U27" s="37">
        <v>0.0</v>
      </c>
      <c r="V27" s="42"/>
      <c r="W27" s="43"/>
      <c r="X27" s="105"/>
      <c r="Y27" s="38"/>
      <c r="Z27" s="41"/>
      <c r="AA27" s="219"/>
      <c r="AB27" s="206" t="str">
        <f t="shared" si="1"/>
        <v/>
      </c>
      <c r="AC27" s="211"/>
      <c r="AD27" s="205"/>
    </row>
    <row r="28" ht="16.5" customHeight="1" outlineLevel="1">
      <c r="A28" s="1"/>
      <c r="B28" s="62" t="s">
        <v>330</v>
      </c>
      <c r="C28" s="245"/>
      <c r="D28" s="22"/>
      <c r="E28" s="23"/>
      <c r="F28" s="194"/>
      <c r="G28" s="22"/>
      <c r="H28" s="22"/>
      <c r="I28" s="25"/>
      <c r="J28" s="1"/>
      <c r="K28" s="1"/>
      <c r="L28" s="1"/>
      <c r="M28" s="11">
        <v>0.0</v>
      </c>
      <c r="N28" s="16"/>
      <c r="O28" s="252">
        <f>G6*0.2</f>
        <v>0</v>
      </c>
      <c r="P28" s="127" t="s">
        <v>331</v>
      </c>
      <c r="T28" s="1"/>
      <c r="U28" s="37">
        <v>0.0</v>
      </c>
      <c r="V28" s="42"/>
      <c r="W28" s="43"/>
      <c r="X28" s="105"/>
      <c r="Y28" s="38"/>
      <c r="Z28" s="41"/>
      <c r="AA28" s="219"/>
      <c r="AB28" s="206" t="str">
        <f t="shared" si="1"/>
        <v/>
      </c>
      <c r="AC28" s="211"/>
      <c r="AD28" s="205"/>
    </row>
    <row r="29" ht="16.5" customHeight="1" outlineLevel="1">
      <c r="A29" s="1"/>
      <c r="C29" s="220"/>
      <c r="D29" s="216"/>
      <c r="E29" s="217"/>
      <c r="F29" s="198"/>
      <c r="G29" s="216"/>
      <c r="H29" s="216"/>
      <c r="I29" s="199"/>
      <c r="J29" s="1"/>
      <c r="K29" s="1"/>
      <c r="L29" s="1"/>
      <c r="M29" s="11">
        <v>0.0</v>
      </c>
      <c r="N29" s="16"/>
      <c r="O29" s="252">
        <f>IF(H10="--","--",G6*0.1*IFS(H10&gt;0,H10,TRUE,0.25))</f>
        <v>0</v>
      </c>
      <c r="P29" s="127" t="s">
        <v>141</v>
      </c>
      <c r="T29" s="1"/>
      <c r="U29" s="37">
        <v>0.0</v>
      </c>
      <c r="V29" s="42"/>
      <c r="W29" s="43"/>
      <c r="X29" s="105"/>
      <c r="Y29" s="38"/>
      <c r="Z29" s="41"/>
      <c r="AA29" s="219"/>
      <c r="AB29" s="206" t="str">
        <f t="shared" si="1"/>
        <v/>
      </c>
      <c r="AC29" s="211"/>
      <c r="AD29" s="205"/>
    </row>
    <row r="30" ht="16.5" customHeight="1" outlineLevel="1">
      <c r="A30" s="1"/>
      <c r="C30" s="220"/>
      <c r="D30" s="216"/>
      <c r="E30" s="217"/>
      <c r="F30" s="198"/>
      <c r="G30" s="216"/>
      <c r="H30" s="216"/>
      <c r="I30" s="199"/>
      <c r="J30" s="1"/>
      <c r="K30" s="1"/>
      <c r="L30" s="1"/>
      <c r="M30" s="11">
        <v>0.0</v>
      </c>
      <c r="N30" s="16"/>
      <c r="O30" s="252">
        <f>IF(H12="--","--",G6*0.1*H12)</f>
        <v>0</v>
      </c>
      <c r="P30" s="127" t="s">
        <v>138</v>
      </c>
      <c r="T30" s="1"/>
      <c r="U30" s="37">
        <v>0.0</v>
      </c>
      <c r="V30" s="42"/>
      <c r="W30" s="43"/>
      <c r="X30" s="105"/>
      <c r="Y30" s="38"/>
      <c r="Z30" s="41"/>
      <c r="AA30" s="219"/>
      <c r="AB30" s="206" t="str">
        <f t="shared" si="1"/>
        <v/>
      </c>
      <c r="AC30" s="211"/>
      <c r="AD30" s="205"/>
    </row>
    <row r="31" ht="16.5" customHeight="1" outlineLevel="1">
      <c r="A31" s="1"/>
      <c r="C31" s="249"/>
      <c r="D31" s="158"/>
      <c r="E31" s="250"/>
      <c r="F31" s="251"/>
      <c r="G31" s="158"/>
      <c r="H31" s="158"/>
      <c r="I31" s="159"/>
      <c r="J31" s="1"/>
      <c r="K31" s="1"/>
      <c r="L31" s="1"/>
      <c r="M31" s="11">
        <v>0.0</v>
      </c>
      <c r="N31" s="16"/>
      <c r="O31" s="196">
        <v>0.0</v>
      </c>
      <c r="P31" s="127" t="s">
        <v>135</v>
      </c>
      <c r="T31" s="1"/>
      <c r="U31" s="37">
        <v>0.0</v>
      </c>
      <c r="V31" s="42"/>
      <c r="W31" s="43"/>
      <c r="X31" s="105"/>
      <c r="Y31" s="38"/>
      <c r="Z31" s="41"/>
      <c r="AA31" s="219"/>
      <c r="AB31" s="206" t="str">
        <f t="shared" si="1"/>
        <v/>
      </c>
      <c r="AC31" s="211"/>
      <c r="AD31" s="205"/>
    </row>
    <row r="32" ht="16.5" customHeight="1" outlineLevel="1">
      <c r="A32" s="1"/>
      <c r="B32" s="62" t="s">
        <v>332</v>
      </c>
      <c r="C32" s="245"/>
      <c r="D32" s="22"/>
      <c r="E32" s="23"/>
      <c r="F32" s="194"/>
      <c r="G32" s="22"/>
      <c r="H32" s="22"/>
      <c r="I32" s="25"/>
      <c r="J32" s="1"/>
      <c r="K32" s="1"/>
      <c r="L32" s="1"/>
      <c r="M32" s="11">
        <v>0.0</v>
      </c>
      <c r="N32" s="16"/>
      <c r="O32" s="196">
        <v>0.0</v>
      </c>
      <c r="P32" s="127" t="s">
        <v>326</v>
      </c>
      <c r="T32" s="1"/>
      <c r="U32" s="37">
        <v>0.0</v>
      </c>
      <c r="V32" s="42"/>
      <c r="W32" s="43"/>
      <c r="X32" s="105"/>
      <c r="Y32" s="38"/>
      <c r="Z32" s="41"/>
      <c r="AA32" s="219"/>
      <c r="AB32" s="206" t="str">
        <f t="shared" si="1"/>
        <v/>
      </c>
      <c r="AC32" s="211"/>
      <c r="AD32" s="205"/>
    </row>
    <row r="33" ht="16.5" customHeight="1" outlineLevel="1">
      <c r="A33" s="1"/>
      <c r="C33" s="85"/>
      <c r="D33" s="27"/>
      <c r="E33" s="28"/>
      <c r="F33" s="214"/>
      <c r="G33" s="27"/>
      <c r="H33" s="27"/>
      <c r="I33" s="30"/>
      <c r="J33" s="1"/>
      <c r="K33" s="1"/>
      <c r="L33" s="1"/>
      <c r="M33" s="11">
        <v>0.0</v>
      </c>
      <c r="N33" s="16"/>
      <c r="O33" s="196">
        <v>0.0</v>
      </c>
      <c r="P33" s="253"/>
      <c r="Q33" s="15"/>
      <c r="R33" s="15"/>
      <c r="S33" s="9"/>
      <c r="T33" s="1"/>
      <c r="U33" s="37">
        <v>0.0</v>
      </c>
      <c r="V33" s="42"/>
      <c r="W33" s="43"/>
      <c r="X33" s="105"/>
      <c r="Y33" s="38"/>
      <c r="Z33" s="41"/>
      <c r="AA33" s="219"/>
      <c r="AB33" s="206" t="str">
        <f t="shared" si="1"/>
        <v/>
      </c>
      <c r="AC33" s="211"/>
      <c r="AD33" s="205"/>
    </row>
    <row r="34" ht="16.5" customHeight="1" outlineLevel="1">
      <c r="A34" s="1"/>
      <c r="B34" s="62" t="s">
        <v>333</v>
      </c>
      <c r="C34" s="254"/>
      <c r="D34" s="4"/>
      <c r="E34" s="255"/>
      <c r="F34" s="256"/>
      <c r="G34" s="4"/>
      <c r="H34" s="4"/>
      <c r="I34" s="257"/>
      <c r="J34" s="1"/>
      <c r="K34" s="1"/>
      <c r="L34" s="1"/>
      <c r="M34" s="11">
        <v>0.0</v>
      </c>
      <c r="N34" s="16"/>
      <c r="O34" s="196">
        <v>0.0</v>
      </c>
      <c r="P34" s="253"/>
      <c r="Q34" s="15"/>
      <c r="R34" s="15"/>
      <c r="S34" s="9"/>
      <c r="T34" s="1"/>
      <c r="U34" s="37">
        <v>0.0</v>
      </c>
      <c r="V34" s="42"/>
      <c r="W34" s="43"/>
      <c r="X34" s="105"/>
      <c r="Y34" s="38"/>
      <c r="Z34" s="41"/>
      <c r="AA34" s="219"/>
      <c r="AB34" s="206" t="str">
        <f t="shared" si="1"/>
        <v/>
      </c>
      <c r="AC34" s="211"/>
      <c r="AD34" s="205"/>
    </row>
    <row r="35" ht="16.5" customHeight="1" outlineLevel="1">
      <c r="A35" s="1"/>
      <c r="C35" s="220"/>
      <c r="D35" s="216"/>
      <c r="E35" s="217"/>
      <c r="F35" s="198"/>
      <c r="G35" s="216"/>
      <c r="H35" s="216"/>
      <c r="I35" s="199"/>
      <c r="J35" s="1"/>
      <c r="K35" s="1"/>
      <c r="L35" s="1"/>
      <c r="M35" s="11">
        <v>0.0</v>
      </c>
      <c r="N35" s="16"/>
      <c r="O35" s="196">
        <v>0.0</v>
      </c>
      <c r="P35" s="253"/>
      <c r="Q35" s="15"/>
      <c r="R35" s="15"/>
      <c r="S35" s="9"/>
      <c r="T35" s="1"/>
      <c r="U35" s="37">
        <v>0.0</v>
      </c>
      <c r="V35" s="42"/>
      <c r="W35" s="43"/>
      <c r="X35" s="105"/>
      <c r="Y35" s="38"/>
      <c r="Z35" s="41"/>
      <c r="AA35" s="219"/>
      <c r="AB35" s="206" t="str">
        <f t="shared" si="1"/>
        <v/>
      </c>
      <c r="AC35" s="211"/>
      <c r="AD35" s="205"/>
    </row>
    <row r="36" ht="16.5" customHeight="1" outlineLevel="1">
      <c r="A36" s="1"/>
      <c r="C36" s="249"/>
      <c r="D36" s="158"/>
      <c r="E36" s="250"/>
      <c r="F36" s="251"/>
      <c r="G36" s="158"/>
      <c r="H36" s="158"/>
      <c r="I36" s="159"/>
      <c r="J36" s="1"/>
      <c r="K36" s="1"/>
      <c r="L36" s="1"/>
      <c r="M36" s="11">
        <v>0.0</v>
      </c>
      <c r="N36" s="16"/>
      <c r="O36" s="196">
        <v>0.0</v>
      </c>
      <c r="P36" s="253"/>
      <c r="Q36" s="15"/>
      <c r="R36" s="15"/>
      <c r="S36" s="9"/>
      <c r="T36" s="1"/>
      <c r="U36" s="37">
        <v>0.0</v>
      </c>
      <c r="V36" s="42"/>
      <c r="W36" s="43"/>
      <c r="X36" s="105"/>
      <c r="Y36" s="38"/>
      <c r="Z36" s="41"/>
      <c r="AA36" s="219"/>
      <c r="AB36" s="206" t="str">
        <f t="shared" si="1"/>
        <v/>
      </c>
      <c r="AC36" s="211"/>
      <c r="AD36" s="205"/>
    </row>
    <row r="37" ht="16.5" customHeight="1" outlineLevel="1">
      <c r="A37" s="1"/>
      <c r="B37" s="62" t="s">
        <v>334</v>
      </c>
      <c r="C37" s="245"/>
      <c r="D37" s="22"/>
      <c r="E37" s="23"/>
      <c r="F37" s="194"/>
      <c r="G37" s="22"/>
      <c r="H37" s="22"/>
      <c r="I37" s="25"/>
      <c r="J37" s="1"/>
      <c r="K37" s="80" t="s">
        <v>227</v>
      </c>
      <c r="T37" s="1"/>
      <c r="U37" s="37">
        <v>0.0</v>
      </c>
      <c r="V37" s="42"/>
      <c r="W37" s="43"/>
      <c r="X37" s="105"/>
      <c r="Y37" s="38"/>
      <c r="Z37" s="41"/>
      <c r="AA37" s="219"/>
      <c r="AB37" s="206" t="str">
        <f t="shared" si="1"/>
        <v/>
      </c>
      <c r="AC37" s="211"/>
      <c r="AD37" s="205"/>
    </row>
    <row r="38" ht="16.5" customHeight="1" outlineLevel="1">
      <c r="A38" s="1"/>
      <c r="C38" s="85"/>
      <c r="D38" s="27"/>
      <c r="E38" s="28"/>
      <c r="F38" s="214"/>
      <c r="G38" s="27"/>
      <c r="H38" s="27"/>
      <c r="I38" s="30"/>
      <c r="J38" s="1"/>
      <c r="K38" s="4"/>
      <c r="L38" s="4"/>
      <c r="M38" s="4"/>
      <c r="N38" s="4"/>
      <c r="O38" s="4"/>
      <c r="P38" s="4"/>
      <c r="Q38" s="4"/>
      <c r="R38" s="4"/>
      <c r="S38" s="4"/>
      <c r="T38" s="1"/>
      <c r="U38" s="37">
        <v>0.0</v>
      </c>
      <c r="V38" s="42"/>
      <c r="W38" s="43"/>
      <c r="X38" s="105"/>
      <c r="Y38" s="38"/>
      <c r="Z38" s="41"/>
      <c r="AA38" s="219"/>
      <c r="AB38" s="206" t="str">
        <f t="shared" si="1"/>
        <v/>
      </c>
      <c r="AC38" s="211"/>
      <c r="AD38" s="205"/>
    </row>
    <row r="39" ht="16.5" customHeight="1" outlineLevel="1">
      <c r="A39" s="1"/>
      <c r="B39" s="62" t="s">
        <v>335</v>
      </c>
      <c r="C39" s="245"/>
      <c r="D39" s="22"/>
      <c r="E39" s="25"/>
      <c r="F39" s="1"/>
      <c r="G39" s="246" t="s">
        <v>247</v>
      </c>
      <c r="H39" s="15"/>
      <c r="I39" s="9"/>
      <c r="J39" s="1"/>
      <c r="K39" s="62" t="s">
        <v>336</v>
      </c>
      <c r="P39" s="258">
        <v>0.0</v>
      </c>
      <c r="Q39" s="15"/>
      <c r="R39" s="9"/>
      <c r="S39" s="1"/>
      <c r="T39" s="1"/>
      <c r="U39" s="37">
        <v>0.0</v>
      </c>
      <c r="V39" s="42"/>
      <c r="W39" s="43"/>
      <c r="X39" s="105"/>
      <c r="Y39" s="38"/>
      <c r="Z39" s="41"/>
      <c r="AA39" s="219"/>
      <c r="AB39" s="206" t="str">
        <f t="shared" si="1"/>
        <v/>
      </c>
      <c r="AC39" s="211"/>
      <c r="AD39" s="205"/>
    </row>
    <row r="40" ht="16.5" customHeight="1" outlineLevel="1">
      <c r="A40" s="1"/>
      <c r="C40" s="85"/>
      <c r="D40" s="27"/>
      <c r="E40" s="30"/>
      <c r="F40" s="1"/>
      <c r="G40" s="1"/>
      <c r="H40" s="1"/>
      <c r="I40" s="1"/>
      <c r="J40" s="1"/>
      <c r="K40" s="62" t="s">
        <v>337</v>
      </c>
      <c r="P40" s="191">
        <v>0.0</v>
      </c>
      <c r="Q40" s="15"/>
      <c r="R40" s="9"/>
      <c r="S40" s="1"/>
      <c r="T40" s="1"/>
      <c r="U40" s="37">
        <v>0.0</v>
      </c>
      <c r="V40" s="42"/>
      <c r="W40" s="43"/>
      <c r="X40" s="105"/>
      <c r="Y40" s="38"/>
      <c r="Z40" s="41"/>
      <c r="AA40" s="219"/>
      <c r="AB40" s="206" t="str">
        <f t="shared" si="1"/>
        <v/>
      </c>
      <c r="AC40" s="211"/>
      <c r="AD40" s="1"/>
    </row>
    <row r="41" ht="16.5" customHeight="1" outlineLevel="1">
      <c r="A41" s="1"/>
      <c r="B41" s="259" t="s">
        <v>200</v>
      </c>
      <c r="T41" s="1"/>
      <c r="U41" s="37">
        <v>0.0</v>
      </c>
      <c r="V41" s="42"/>
      <c r="W41" s="43"/>
      <c r="X41" s="105"/>
      <c r="Y41" s="38"/>
      <c r="Z41" s="41"/>
      <c r="AA41" s="219"/>
      <c r="AB41" s="206" t="str">
        <f t="shared" si="1"/>
        <v/>
      </c>
      <c r="AC41" s="211"/>
      <c r="AD41" s="1"/>
    </row>
    <row r="42" ht="16.5" customHeight="1" outlineLevel="1">
      <c r="A42" s="1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1"/>
      <c r="U42" s="37">
        <v>0.0</v>
      </c>
      <c r="V42" s="42"/>
      <c r="W42" s="43"/>
      <c r="X42" s="105"/>
      <c r="Y42" s="38"/>
      <c r="Z42" s="41"/>
      <c r="AA42" s="219"/>
      <c r="AB42" s="206" t="str">
        <f t="shared" si="1"/>
        <v/>
      </c>
      <c r="AC42" s="211"/>
      <c r="AD42" s="1"/>
    </row>
    <row r="43" ht="16.5" customHeight="1" outlineLevel="1">
      <c r="A43" s="1"/>
      <c r="B43" s="6" t="s">
        <v>202</v>
      </c>
      <c r="D43" s="6" t="s">
        <v>293</v>
      </c>
      <c r="G43" s="6" t="s">
        <v>13</v>
      </c>
      <c r="H43" s="6" t="s">
        <v>203</v>
      </c>
      <c r="I43" s="6" t="s">
        <v>206</v>
      </c>
      <c r="K43" s="6" t="s">
        <v>338</v>
      </c>
      <c r="O43" s="6" t="s">
        <v>339</v>
      </c>
      <c r="Q43" s="6" t="s">
        <v>208</v>
      </c>
      <c r="T43" s="1"/>
      <c r="U43" s="37">
        <v>0.0</v>
      </c>
      <c r="V43" s="42"/>
      <c r="W43" s="43"/>
      <c r="X43" s="105"/>
      <c r="Y43" s="38"/>
      <c r="Z43" s="41"/>
      <c r="AA43" s="135"/>
      <c r="AB43" s="206" t="str">
        <f t="shared" si="1"/>
        <v/>
      </c>
      <c r="AC43" s="207"/>
      <c r="AD43" s="1"/>
    </row>
    <row r="44" ht="16.5" customHeight="1" outlineLevel="1">
      <c r="A44" s="1"/>
      <c r="B44" s="130"/>
      <c r="C44" s="131"/>
      <c r="D44" s="241"/>
      <c r="E44" s="35"/>
      <c r="F44" s="131"/>
      <c r="G44" s="201"/>
      <c r="H44" s="33"/>
      <c r="I44" s="228"/>
      <c r="J44" s="131"/>
      <c r="K44" s="228"/>
      <c r="L44" s="35"/>
      <c r="M44" s="131"/>
      <c r="N44" s="33"/>
      <c r="O44" s="229"/>
      <c r="P44" s="131"/>
      <c r="Q44" s="34"/>
      <c r="R44" s="35"/>
      <c r="S44" s="36"/>
      <c r="T44" s="1"/>
      <c r="U44" s="37">
        <v>0.0</v>
      </c>
      <c r="V44" s="42"/>
      <c r="W44" s="43"/>
      <c r="X44" s="105"/>
      <c r="Y44" s="38"/>
      <c r="Z44" s="41"/>
      <c r="AA44" s="219"/>
      <c r="AB44" s="206" t="str">
        <f t="shared" si="1"/>
        <v/>
      </c>
      <c r="AC44" s="211"/>
      <c r="AD44" s="1"/>
    </row>
    <row r="45" ht="16.5" customHeight="1" outlineLevel="1">
      <c r="A45" s="1"/>
      <c r="B45" s="134"/>
      <c r="C45" s="105"/>
      <c r="D45" s="225"/>
      <c r="E45" s="43"/>
      <c r="F45" s="105"/>
      <c r="G45" s="39"/>
      <c r="H45" s="40"/>
      <c r="I45" s="230"/>
      <c r="J45" s="105"/>
      <c r="K45" s="230"/>
      <c r="L45" s="43"/>
      <c r="M45" s="105"/>
      <c r="N45" s="40"/>
      <c r="O45" s="231"/>
      <c r="P45" s="105"/>
      <c r="Q45" s="121"/>
      <c r="R45" s="43"/>
      <c r="S45" s="44"/>
      <c r="T45" s="1"/>
      <c r="U45" s="37">
        <v>0.0</v>
      </c>
      <c r="V45" s="42"/>
      <c r="W45" s="43"/>
      <c r="X45" s="105"/>
      <c r="Y45" s="38"/>
      <c r="Z45" s="41"/>
      <c r="AA45" s="135"/>
      <c r="AB45" s="206" t="str">
        <f t="shared" si="1"/>
        <v/>
      </c>
      <c r="AC45" s="211"/>
      <c r="AD45" s="1"/>
    </row>
    <row r="46" ht="16.5" customHeight="1" outlineLevel="1">
      <c r="A46" s="1"/>
      <c r="B46" s="134"/>
      <c r="C46" s="105"/>
      <c r="D46" s="225"/>
      <c r="E46" s="43"/>
      <c r="F46" s="105"/>
      <c r="G46" s="39"/>
      <c r="H46" s="40"/>
      <c r="I46" s="230"/>
      <c r="J46" s="105"/>
      <c r="K46" s="230"/>
      <c r="L46" s="43"/>
      <c r="M46" s="105"/>
      <c r="N46" s="40"/>
      <c r="O46" s="231"/>
      <c r="P46" s="105"/>
      <c r="Q46" s="121"/>
      <c r="R46" s="43"/>
      <c r="S46" s="44"/>
      <c r="T46" s="1"/>
      <c r="U46" s="45">
        <v>0.0</v>
      </c>
      <c r="V46" s="49"/>
      <c r="W46" s="50"/>
      <c r="X46" s="141"/>
      <c r="Y46" s="46"/>
      <c r="Z46" s="48"/>
      <c r="AA46" s="232"/>
      <c r="AB46" s="233" t="str">
        <f t="shared" si="1"/>
        <v/>
      </c>
      <c r="AC46" s="234"/>
      <c r="AD46" s="1"/>
    </row>
    <row r="47" ht="16.5" customHeight="1" outlineLevel="1">
      <c r="A47" s="1"/>
      <c r="B47" s="151"/>
      <c r="C47" s="141"/>
      <c r="D47" s="235"/>
      <c r="E47" s="50"/>
      <c r="F47" s="141"/>
      <c r="G47" s="183"/>
      <c r="H47" s="47"/>
      <c r="I47" s="236"/>
      <c r="J47" s="141"/>
      <c r="K47" s="236"/>
      <c r="L47" s="50"/>
      <c r="M47" s="141"/>
      <c r="N47" s="47"/>
      <c r="O47" s="237"/>
      <c r="P47" s="141"/>
      <c r="Q47" s="144"/>
      <c r="R47" s="50"/>
      <c r="S47" s="51"/>
      <c r="T47" s="1"/>
      <c r="U47" s="95">
        <f>SUM(U18:U46)</f>
        <v>0</v>
      </c>
      <c r="V47" s="1"/>
      <c r="W47" s="1"/>
      <c r="X47" s="1"/>
      <c r="Y47" s="1"/>
      <c r="Z47" s="62" t="s">
        <v>34</v>
      </c>
      <c r="AA47" s="238" t="str">
        <f>SUMPRODUCT(U7:U46,AB7:AB46)&amp;""</f>
        <v>0</v>
      </c>
      <c r="AB47" s="9"/>
      <c r="AC47" s="239">
        <f>SUMPRODUCT(U7:U46,AC7:AC46)</f>
        <v>0</v>
      </c>
      <c r="AD47" s="1"/>
    </row>
    <row r="48" ht="49.5" customHeight="1">
      <c r="A48" s="1"/>
      <c r="B48" s="3" t="s">
        <v>300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1"/>
    </row>
    <row r="49" ht="16.5" customHeight="1" collapsed="1">
      <c r="A49" s="1"/>
      <c r="B49" s="62" t="s">
        <v>301</v>
      </c>
      <c r="C49" s="8"/>
      <c r="D49" s="15"/>
      <c r="E49" s="15"/>
      <c r="F49" s="15"/>
      <c r="G49" s="15"/>
      <c r="H49" s="15"/>
      <c r="I49" s="9"/>
      <c r="J49" s="62" t="s">
        <v>302</v>
      </c>
      <c r="N49" s="8"/>
      <c r="O49" s="15"/>
      <c r="P49" s="9"/>
      <c r="Q49" s="1"/>
      <c r="R49" s="1"/>
      <c r="S49" s="62" t="s">
        <v>261</v>
      </c>
      <c r="V49" s="188">
        <f>VALUE(AA93)</f>
        <v>0</v>
      </c>
      <c r="W49" s="189" t="s">
        <v>262</v>
      </c>
      <c r="X49" s="244" t="str">
        <f>IF(G85="","--",G85)</f>
        <v>0</v>
      </c>
      <c r="Y49" s="1"/>
      <c r="Z49" s="1"/>
      <c r="AA49" s="1"/>
      <c r="AB49" s="1"/>
      <c r="AC49" s="1"/>
      <c r="AD49" s="1"/>
    </row>
    <row r="50" ht="16.5" hidden="1" customHeight="1" outlineLevel="1">
      <c r="A50" s="1"/>
      <c r="B50" s="62" t="s">
        <v>231</v>
      </c>
      <c r="C50" s="191">
        <v>0.0</v>
      </c>
      <c r="D50" s="15"/>
      <c r="E50" s="9"/>
      <c r="F50" s="62" t="s">
        <v>230</v>
      </c>
      <c r="H50" s="11">
        <v>0.0</v>
      </c>
      <c r="I50" s="9"/>
      <c r="J50" s="1"/>
      <c r="K50" s="80" t="s">
        <v>303</v>
      </c>
      <c r="P50" s="1"/>
      <c r="Q50" s="80" t="s">
        <v>263</v>
      </c>
      <c r="T50" s="1"/>
      <c r="U50" s="80" t="s">
        <v>264</v>
      </c>
      <c r="AD50" s="1"/>
    </row>
    <row r="51" ht="16.5" hidden="1" customHeight="1" outlineLevel="1">
      <c r="A51" s="1"/>
      <c r="B51" s="1"/>
      <c r="C51" s="1"/>
      <c r="D51" s="1"/>
      <c r="E51" s="1"/>
      <c r="F51" s="1"/>
      <c r="G51" s="1"/>
      <c r="H51" s="1"/>
      <c r="I51" s="1"/>
      <c r="J51" s="1"/>
      <c r="K51" s="4"/>
      <c r="L51" s="4"/>
      <c r="M51" s="4"/>
      <c r="N51" s="4"/>
      <c r="O51" s="4"/>
      <c r="P51" s="1"/>
      <c r="Q51" s="4"/>
      <c r="R51" s="4"/>
      <c r="S51" s="4"/>
      <c r="T51" s="1"/>
      <c r="U51" s="4"/>
      <c r="V51" s="4"/>
      <c r="W51" s="4"/>
      <c r="X51" s="4"/>
      <c r="Y51" s="4"/>
      <c r="Z51" s="4"/>
      <c r="AA51" s="4"/>
      <c r="AB51" s="4"/>
      <c r="AC51" s="4"/>
      <c r="AD51" s="1"/>
    </row>
    <row r="52" ht="16.5" hidden="1" customHeight="1" outlineLevel="1">
      <c r="A52" s="1"/>
      <c r="B52" s="62" t="s">
        <v>281</v>
      </c>
      <c r="C52" s="245"/>
      <c r="D52" s="22"/>
      <c r="E52" s="25"/>
      <c r="F52" s="1"/>
      <c r="G52" s="246" t="s">
        <v>247</v>
      </c>
      <c r="H52" s="15"/>
      <c r="I52" s="9"/>
      <c r="J52" s="1"/>
      <c r="K52" s="1"/>
      <c r="L52" s="1"/>
      <c r="M52" s="6" t="s">
        <v>66</v>
      </c>
      <c r="O52" s="6" t="s">
        <v>34</v>
      </c>
      <c r="P52" s="1"/>
      <c r="Q52" s="193"/>
      <c r="R52" s="194"/>
      <c r="S52" s="25"/>
      <c r="T52" s="1"/>
      <c r="U52" s="6" t="s">
        <v>244</v>
      </c>
      <c r="V52" s="6" t="s">
        <v>245</v>
      </c>
      <c r="Y52" s="6" t="s">
        <v>54</v>
      </c>
      <c r="Z52" s="6" t="s">
        <v>230</v>
      </c>
      <c r="AA52" s="6" t="s">
        <v>246</v>
      </c>
      <c r="AB52" s="6" t="s">
        <v>266</v>
      </c>
      <c r="AC52" s="6" t="s">
        <v>231</v>
      </c>
      <c r="AD52" s="1"/>
    </row>
    <row r="53" ht="16.5" hidden="1" customHeight="1" outlineLevel="1">
      <c r="A53" s="1"/>
      <c r="C53" s="85"/>
      <c r="D53" s="27"/>
      <c r="E53" s="30"/>
      <c r="F53" s="1"/>
      <c r="G53" s="1"/>
      <c r="H53" s="1"/>
      <c r="I53" s="1"/>
      <c r="J53" s="1"/>
      <c r="K53" s="62" t="s">
        <v>281</v>
      </c>
      <c r="M53" s="11">
        <v>0.0</v>
      </c>
      <c r="N53" s="16"/>
      <c r="O53" s="196">
        <v>0.0</v>
      </c>
      <c r="P53" s="1"/>
      <c r="Q53" s="197"/>
      <c r="R53" s="198"/>
      <c r="S53" s="199"/>
      <c r="T53" s="1"/>
      <c r="U53" s="31">
        <v>0.0</v>
      </c>
      <c r="V53" s="200"/>
      <c r="W53" s="35"/>
      <c r="X53" s="131"/>
      <c r="Y53" s="201"/>
      <c r="Z53" s="202"/>
      <c r="AA53" s="132" t="s">
        <v>269</v>
      </c>
      <c r="AB53" s="203" t="str">
        <f t="shared" ref="AB53:AB92" si="2">IFS(AA53="",,ISNUMBER(AA53),AA53&amp;"",RIGHT(AA53,2)="kg",LEFT(AA53,LEN(AA53)-2)*0.001&amp;"",RIGHT(AA53,3)="kgs",LEFT(AA53,LEN(AA53)-3)*0.001&amp;"",RIGHT(AA53,3)="ton",VALUE(LEFT(AA53,LEN(AA53)-3))&amp;"",RIGHT(AA53,4)="tons",VALUE(LEFT(AA53,LEN(AA53)-4))&amp;"",AND(RIGHT(AA53,1)="t",NOT(ISERROR(VALUE(LEFT(AA53,LEN(AA53)-1))))),VALUE(LEFT(AA53,LEN(AA53)-1))&amp;"",TRUE,"?")</f>
        <v>0.035</v>
      </c>
      <c r="AC53" s="204">
        <v>0.0</v>
      </c>
      <c r="AD53" s="205"/>
    </row>
    <row r="54" ht="16.5" hidden="1" customHeight="1" outlineLevel="1">
      <c r="A54" s="1"/>
      <c r="B54" s="62" t="s">
        <v>304</v>
      </c>
      <c r="C54" s="245"/>
      <c r="D54" s="22"/>
      <c r="E54" s="25"/>
      <c r="F54" s="62" t="s">
        <v>305</v>
      </c>
      <c r="H54" s="11">
        <v>0.0</v>
      </c>
      <c r="I54" s="9"/>
      <c r="J54" s="1"/>
      <c r="K54" s="80" t="s">
        <v>306</v>
      </c>
      <c r="P54" s="1"/>
      <c r="Q54" s="197"/>
      <c r="R54" s="198"/>
      <c r="S54" s="199"/>
      <c r="T54" s="1"/>
      <c r="U54" s="37">
        <v>0.0</v>
      </c>
      <c r="V54" s="42"/>
      <c r="W54" s="43"/>
      <c r="X54" s="105"/>
      <c r="Y54" s="38"/>
      <c r="Z54" s="41"/>
      <c r="AA54" s="135"/>
      <c r="AB54" s="206" t="str">
        <f t="shared" si="2"/>
        <v/>
      </c>
      <c r="AC54" s="207"/>
      <c r="AD54" s="205"/>
    </row>
    <row r="55" ht="16.5" hidden="1" customHeight="1" outlineLevel="1">
      <c r="A55" s="1"/>
      <c r="C55" s="85"/>
      <c r="D55" s="27"/>
      <c r="E55" s="30"/>
      <c r="F55" s="1"/>
      <c r="G55" s="1"/>
      <c r="H55" s="1"/>
      <c r="I55" s="1"/>
      <c r="J55" s="1"/>
      <c r="K55" s="4"/>
      <c r="L55" s="4"/>
      <c r="M55" s="4"/>
      <c r="N55" s="4"/>
      <c r="O55" s="4"/>
      <c r="P55" s="1"/>
      <c r="Q55" s="197"/>
      <c r="R55" s="198"/>
      <c r="S55" s="199"/>
      <c r="T55" s="1"/>
      <c r="U55" s="37">
        <v>0.0</v>
      </c>
      <c r="V55" s="121"/>
      <c r="W55" s="43"/>
      <c r="X55" s="105"/>
      <c r="Y55" s="38"/>
      <c r="Z55" s="41"/>
      <c r="AA55" s="135"/>
      <c r="AB55" s="206" t="str">
        <f t="shared" si="2"/>
        <v/>
      </c>
      <c r="AC55" s="207"/>
      <c r="AD55" s="205"/>
    </row>
    <row r="56" ht="16.5" hidden="1" customHeight="1" outlineLevel="1">
      <c r="A56" s="1"/>
      <c r="B56" s="62" t="s">
        <v>141</v>
      </c>
      <c r="C56" s="245"/>
      <c r="D56" s="22"/>
      <c r="E56" s="25"/>
      <c r="F56" s="62" t="s">
        <v>307</v>
      </c>
      <c r="H56" s="11">
        <v>1.0</v>
      </c>
      <c r="I56" s="9"/>
      <c r="J56" s="1"/>
      <c r="K56" s="62" t="s">
        <v>308</v>
      </c>
      <c r="O56" s="13">
        <v>0.0</v>
      </c>
      <c r="P56" s="1"/>
      <c r="Q56" s="197"/>
      <c r="R56" s="198"/>
      <c r="S56" s="199"/>
      <c r="T56" s="1"/>
      <c r="U56" s="37">
        <v>0.0</v>
      </c>
      <c r="V56" s="42"/>
      <c r="W56" s="43"/>
      <c r="X56" s="105"/>
      <c r="Y56" s="38"/>
      <c r="Z56" s="41"/>
      <c r="AA56" s="135"/>
      <c r="AB56" s="206" t="str">
        <f t="shared" si="2"/>
        <v/>
      </c>
      <c r="AC56" s="211"/>
      <c r="AD56" s="205"/>
    </row>
    <row r="57" ht="16.5" hidden="1" customHeight="1" outlineLevel="1">
      <c r="A57" s="1"/>
      <c r="C57" s="85"/>
      <c r="D57" s="27"/>
      <c r="E57" s="30"/>
      <c r="F57" s="1"/>
      <c r="G57" s="1"/>
      <c r="H57" s="1"/>
      <c r="I57" s="1"/>
      <c r="J57" s="1"/>
      <c r="K57" s="62" t="s">
        <v>309</v>
      </c>
      <c r="O57" s="13">
        <v>1.0</v>
      </c>
      <c r="P57" s="1"/>
      <c r="Q57" s="197"/>
      <c r="R57" s="198"/>
      <c r="S57" s="199"/>
      <c r="T57" s="1"/>
      <c r="U57" s="37">
        <v>0.0</v>
      </c>
      <c r="V57" s="42"/>
      <c r="W57" s="43"/>
      <c r="X57" s="105"/>
      <c r="Y57" s="38"/>
      <c r="Z57" s="41"/>
      <c r="AA57" s="135"/>
      <c r="AB57" s="206" t="str">
        <f t="shared" si="2"/>
        <v/>
      </c>
      <c r="AC57" s="211"/>
      <c r="AD57" s="205"/>
    </row>
    <row r="58" ht="16.5" hidden="1" customHeight="1" outlineLevel="1">
      <c r="A58" s="1"/>
      <c r="B58" s="62" t="s">
        <v>138</v>
      </c>
      <c r="C58" s="245"/>
      <c r="D58" s="22"/>
      <c r="E58" s="25"/>
      <c r="F58" s="62" t="s">
        <v>310</v>
      </c>
      <c r="H58" s="11">
        <v>1.0</v>
      </c>
      <c r="I58" s="9"/>
      <c r="J58" s="1"/>
      <c r="K58" s="62" t="s">
        <v>311</v>
      </c>
      <c r="O58" s="13">
        <v>0.0</v>
      </c>
      <c r="P58" s="1"/>
      <c r="Q58" s="197"/>
      <c r="R58" s="198"/>
      <c r="S58" s="199"/>
      <c r="T58" s="1"/>
      <c r="U58" s="37">
        <v>0.0</v>
      </c>
      <c r="V58" s="42"/>
      <c r="W58" s="43"/>
      <c r="X58" s="105"/>
      <c r="Y58" s="38"/>
      <c r="Z58" s="41"/>
      <c r="AA58" s="135"/>
      <c r="AB58" s="206" t="str">
        <f t="shared" si="2"/>
        <v/>
      </c>
      <c r="AC58" s="211"/>
      <c r="AD58" s="205"/>
    </row>
    <row r="59" ht="16.5" hidden="1" customHeight="1" outlineLevel="1">
      <c r="A59" s="1"/>
      <c r="C59" s="85"/>
      <c r="D59" s="27"/>
      <c r="E59" s="30"/>
      <c r="F59" s="1"/>
      <c r="G59" s="1"/>
      <c r="H59" s="1"/>
      <c r="I59" s="1"/>
      <c r="J59" s="1"/>
      <c r="K59" s="62" t="s">
        <v>312</v>
      </c>
      <c r="O59" s="13">
        <v>0.0</v>
      </c>
      <c r="P59" s="1"/>
      <c r="Q59" s="197"/>
      <c r="R59" s="198"/>
      <c r="S59" s="199"/>
      <c r="T59" s="1"/>
      <c r="U59" s="37">
        <v>0.0</v>
      </c>
      <c r="V59" s="42"/>
      <c r="W59" s="43"/>
      <c r="X59" s="105"/>
      <c r="Y59" s="38"/>
      <c r="Z59" s="41"/>
      <c r="AA59" s="135"/>
      <c r="AB59" s="206" t="str">
        <f t="shared" si="2"/>
        <v/>
      </c>
      <c r="AC59" s="211"/>
      <c r="AD59" s="205"/>
    </row>
    <row r="60" ht="16.5" hidden="1" customHeight="1" outlineLevel="1">
      <c r="A60" s="1"/>
      <c r="B60" s="62" t="s">
        <v>313</v>
      </c>
      <c r="C60" s="245"/>
      <c r="D60" s="22"/>
      <c r="E60" s="23"/>
      <c r="F60" s="194"/>
      <c r="G60" s="22"/>
      <c r="H60" s="22"/>
      <c r="I60" s="25"/>
      <c r="J60" s="1"/>
      <c r="K60" s="62" t="s">
        <v>314</v>
      </c>
      <c r="O60" s="13">
        <v>0.0</v>
      </c>
      <c r="P60" s="1"/>
      <c r="Q60" s="197"/>
      <c r="R60" s="198"/>
      <c r="S60" s="199"/>
      <c r="T60" s="1"/>
      <c r="U60" s="37">
        <v>0.0</v>
      </c>
      <c r="V60" s="42"/>
      <c r="W60" s="43"/>
      <c r="X60" s="105"/>
      <c r="Y60" s="38"/>
      <c r="Z60" s="41"/>
      <c r="AA60" s="135"/>
      <c r="AB60" s="206" t="str">
        <f t="shared" si="2"/>
        <v/>
      </c>
      <c r="AC60" s="211"/>
      <c r="AD60" s="205"/>
    </row>
    <row r="61" ht="16.5" hidden="1" customHeight="1" outlineLevel="1">
      <c r="A61" s="1"/>
      <c r="C61" s="85"/>
      <c r="D61" s="27"/>
      <c r="E61" s="28"/>
      <c r="F61" s="214"/>
      <c r="G61" s="27"/>
      <c r="H61" s="27"/>
      <c r="I61" s="30"/>
      <c r="J61" s="1"/>
      <c r="K61" s="62" t="s">
        <v>315</v>
      </c>
      <c r="O61" s="13">
        <v>0.0</v>
      </c>
      <c r="P61" s="1"/>
      <c r="Q61" s="197"/>
      <c r="R61" s="198"/>
      <c r="S61" s="199"/>
      <c r="T61" s="1"/>
      <c r="U61" s="37">
        <v>0.0</v>
      </c>
      <c r="V61" s="42"/>
      <c r="W61" s="43"/>
      <c r="X61" s="105"/>
      <c r="Y61" s="38"/>
      <c r="Z61" s="41"/>
      <c r="AA61" s="135"/>
      <c r="AB61" s="206" t="str">
        <f t="shared" si="2"/>
        <v/>
      </c>
      <c r="AC61" s="211"/>
      <c r="AD61" s="205"/>
    </row>
    <row r="62" ht="16.5" hidden="1" customHeight="1" outlineLevel="1">
      <c r="A62" s="1"/>
      <c r="B62" s="62" t="s">
        <v>316</v>
      </c>
      <c r="C62" s="245"/>
      <c r="D62" s="22"/>
      <c r="E62" s="23"/>
      <c r="F62" s="194"/>
      <c r="G62" s="22"/>
      <c r="H62" s="22"/>
      <c r="I62" s="25"/>
      <c r="J62" s="1"/>
      <c r="K62" s="62" t="s">
        <v>317</v>
      </c>
      <c r="O62" s="13">
        <v>0.0</v>
      </c>
      <c r="P62" s="1"/>
      <c r="Q62" s="197"/>
      <c r="R62" s="198"/>
      <c r="S62" s="199"/>
      <c r="T62" s="1"/>
      <c r="U62" s="37">
        <v>0.0</v>
      </c>
      <c r="V62" s="42"/>
      <c r="W62" s="43"/>
      <c r="X62" s="105"/>
      <c r="Y62" s="38"/>
      <c r="Z62" s="41"/>
      <c r="AA62" s="135"/>
      <c r="AB62" s="206" t="str">
        <f t="shared" si="2"/>
        <v/>
      </c>
      <c r="AC62" s="211"/>
      <c r="AD62" s="205"/>
    </row>
    <row r="63" ht="16.5" hidden="1" customHeight="1" outlineLevel="1">
      <c r="A63" s="1"/>
      <c r="C63" s="85"/>
      <c r="D63" s="27"/>
      <c r="E63" s="28"/>
      <c r="F63" s="214"/>
      <c r="G63" s="27"/>
      <c r="H63" s="27"/>
      <c r="I63" s="30"/>
      <c r="J63" s="1"/>
      <c r="K63" s="62" t="s">
        <v>318</v>
      </c>
      <c r="O63" s="13">
        <v>0.0</v>
      </c>
      <c r="P63" s="1"/>
      <c r="Q63" s="197"/>
      <c r="R63" s="198"/>
      <c r="S63" s="199"/>
      <c r="T63" s="1"/>
      <c r="U63" s="37">
        <v>0.0</v>
      </c>
      <c r="V63" s="42"/>
      <c r="W63" s="43"/>
      <c r="X63" s="105"/>
      <c r="Y63" s="38"/>
      <c r="Z63" s="41"/>
      <c r="AA63" s="135"/>
      <c r="AB63" s="206" t="str">
        <f t="shared" si="2"/>
        <v/>
      </c>
      <c r="AC63" s="211"/>
      <c r="AD63" s="205"/>
    </row>
    <row r="64" ht="16.5" hidden="1" customHeight="1" outlineLevel="1">
      <c r="A64" s="1"/>
      <c r="B64" s="62" t="s">
        <v>319</v>
      </c>
      <c r="C64" s="245"/>
      <c r="D64" s="22"/>
      <c r="E64" s="23"/>
      <c r="F64" s="194"/>
      <c r="G64" s="22"/>
      <c r="H64" s="22"/>
      <c r="I64" s="25"/>
      <c r="J64" s="1"/>
      <c r="K64" s="62" t="s">
        <v>320</v>
      </c>
      <c r="O64" s="13">
        <v>0.0</v>
      </c>
      <c r="P64" s="1"/>
      <c r="Q64" s="197"/>
      <c r="R64" s="198"/>
      <c r="S64" s="199"/>
      <c r="T64" s="1"/>
      <c r="U64" s="37">
        <v>0.0</v>
      </c>
      <c r="V64" s="42"/>
      <c r="W64" s="43"/>
      <c r="X64" s="105"/>
      <c r="Y64" s="38"/>
      <c r="Z64" s="41"/>
      <c r="AA64" s="219"/>
      <c r="AB64" s="206" t="str">
        <f t="shared" si="2"/>
        <v/>
      </c>
      <c r="AC64" s="211"/>
      <c r="AD64" s="205"/>
    </row>
    <row r="65" ht="16.5" hidden="1" customHeight="1" outlineLevel="1">
      <c r="A65" s="1"/>
      <c r="C65" s="85"/>
      <c r="D65" s="27"/>
      <c r="E65" s="28"/>
      <c r="F65" s="214"/>
      <c r="G65" s="27"/>
      <c r="H65" s="27"/>
      <c r="I65" s="30"/>
      <c r="J65" s="1"/>
      <c r="K65" s="62" t="s">
        <v>321</v>
      </c>
      <c r="O65" s="13">
        <v>0.0</v>
      </c>
      <c r="P65" s="1"/>
      <c r="Q65" s="197"/>
      <c r="R65" s="198"/>
      <c r="S65" s="199"/>
      <c r="T65" s="1"/>
      <c r="U65" s="37">
        <v>0.0</v>
      </c>
      <c r="V65" s="42"/>
      <c r="W65" s="43"/>
      <c r="X65" s="105"/>
      <c r="Y65" s="38"/>
      <c r="Z65" s="41"/>
      <c r="AA65" s="135"/>
      <c r="AB65" s="206" t="str">
        <f t="shared" si="2"/>
        <v/>
      </c>
      <c r="AC65" s="211"/>
      <c r="AD65" s="205"/>
    </row>
    <row r="66" ht="16.5" hidden="1" customHeight="1" outlineLevel="1">
      <c r="A66" s="1"/>
      <c r="B66" s="62" t="s">
        <v>322</v>
      </c>
      <c r="C66" s="245"/>
      <c r="D66" s="22"/>
      <c r="E66" s="23"/>
      <c r="F66" s="194"/>
      <c r="G66" s="22"/>
      <c r="H66" s="22"/>
      <c r="I66" s="25"/>
      <c r="J66" s="1"/>
      <c r="K66" s="247"/>
      <c r="L66" s="15"/>
      <c r="M66" s="15"/>
      <c r="N66" s="9"/>
      <c r="O66" s="13">
        <v>0.0</v>
      </c>
      <c r="P66" s="1"/>
      <c r="Q66" s="213"/>
      <c r="R66" s="214"/>
      <c r="S66" s="30"/>
      <c r="T66" s="1"/>
      <c r="U66" s="37">
        <v>0.0</v>
      </c>
      <c r="V66" s="42"/>
      <c r="W66" s="43"/>
      <c r="X66" s="105"/>
      <c r="Y66" s="38"/>
      <c r="Z66" s="41"/>
      <c r="AA66" s="219"/>
      <c r="AB66" s="206" t="str">
        <f t="shared" si="2"/>
        <v/>
      </c>
      <c r="AC66" s="211"/>
      <c r="AD66" s="205"/>
    </row>
    <row r="67" ht="16.5" hidden="1" customHeight="1" outlineLevel="1">
      <c r="A67" s="1"/>
      <c r="C67" s="85"/>
      <c r="D67" s="27"/>
      <c r="E67" s="28"/>
      <c r="F67" s="214"/>
      <c r="G67" s="27"/>
      <c r="H67" s="27"/>
      <c r="I67" s="30"/>
      <c r="J67" s="1"/>
      <c r="K67" s="80" t="s">
        <v>323</v>
      </c>
      <c r="T67" s="1"/>
      <c r="U67" s="37">
        <v>0.0</v>
      </c>
      <c r="V67" s="42"/>
      <c r="W67" s="43"/>
      <c r="X67" s="105"/>
      <c r="Y67" s="38"/>
      <c r="Z67" s="41"/>
      <c r="AA67" s="219"/>
      <c r="AB67" s="206" t="str">
        <f t="shared" si="2"/>
        <v/>
      </c>
      <c r="AC67" s="211"/>
      <c r="AD67" s="205"/>
    </row>
    <row r="68" ht="16.5" hidden="1" customHeight="1" outlineLevel="1">
      <c r="A68" s="1"/>
      <c r="B68" s="62" t="s">
        <v>135</v>
      </c>
      <c r="C68" s="245"/>
      <c r="D68" s="22"/>
      <c r="E68" s="23"/>
      <c r="F68" s="194"/>
      <c r="G68" s="22"/>
      <c r="H68" s="22"/>
      <c r="I68" s="25"/>
      <c r="J68" s="1"/>
      <c r="K68" s="4"/>
      <c r="L68" s="4"/>
      <c r="M68" s="4"/>
      <c r="N68" s="4"/>
      <c r="O68" s="4"/>
      <c r="P68" s="4"/>
      <c r="Q68" s="4"/>
      <c r="R68" s="4"/>
      <c r="S68" s="4"/>
      <c r="T68" s="1"/>
      <c r="U68" s="37">
        <v>0.0</v>
      </c>
      <c r="V68" s="42"/>
      <c r="W68" s="43"/>
      <c r="X68" s="105"/>
      <c r="Y68" s="38"/>
      <c r="Z68" s="41"/>
      <c r="AA68" s="219"/>
      <c r="AB68" s="206" t="str">
        <f t="shared" si="2"/>
        <v/>
      </c>
      <c r="AC68" s="211"/>
      <c r="AD68" s="205"/>
    </row>
    <row r="69" ht="16.5" hidden="1" customHeight="1" outlineLevel="1">
      <c r="A69" s="1"/>
      <c r="C69" s="85"/>
      <c r="D69" s="27"/>
      <c r="E69" s="28"/>
      <c r="F69" s="214"/>
      <c r="G69" s="27"/>
      <c r="H69" s="27"/>
      <c r="I69" s="30"/>
      <c r="J69" s="1"/>
      <c r="K69" s="1"/>
      <c r="L69" s="1"/>
      <c r="M69" s="6" t="s">
        <v>324</v>
      </c>
      <c r="O69" s="6" t="s">
        <v>325</v>
      </c>
      <c r="P69" s="1"/>
      <c r="Q69" s="1"/>
      <c r="R69" s="1"/>
      <c r="S69" s="1"/>
      <c r="T69" s="1"/>
      <c r="U69" s="37">
        <v>0.0</v>
      </c>
      <c r="V69" s="42"/>
      <c r="W69" s="43"/>
      <c r="X69" s="105"/>
      <c r="Y69" s="38"/>
      <c r="Z69" s="41"/>
      <c r="AA69" s="219"/>
      <c r="AB69" s="206" t="str">
        <f t="shared" si="2"/>
        <v/>
      </c>
      <c r="AC69" s="211"/>
      <c r="AD69" s="205"/>
    </row>
    <row r="70" ht="16.5" hidden="1" customHeight="1" outlineLevel="1">
      <c r="A70" s="1"/>
      <c r="B70" s="62" t="s">
        <v>326</v>
      </c>
      <c r="C70" s="245"/>
      <c r="D70" s="22"/>
      <c r="E70" s="23"/>
      <c r="F70" s="194"/>
      <c r="G70" s="22"/>
      <c r="H70" s="22"/>
      <c r="I70" s="25"/>
      <c r="J70" s="1"/>
      <c r="K70" s="1"/>
      <c r="L70" s="1"/>
      <c r="M70" s="248">
        <f>SUM(M74:M82)</f>
        <v>0</v>
      </c>
      <c r="N70" s="16"/>
      <c r="O70" s="196">
        <v>0.0</v>
      </c>
      <c r="P70" s="127" t="s">
        <v>327</v>
      </c>
      <c r="T70" s="1"/>
      <c r="U70" s="37">
        <v>0.0</v>
      </c>
      <c r="V70" s="42"/>
      <c r="W70" s="43"/>
      <c r="X70" s="105"/>
      <c r="Y70" s="38"/>
      <c r="Z70" s="41"/>
      <c r="AA70" s="219"/>
      <c r="AB70" s="206" t="str">
        <f t="shared" si="2"/>
        <v/>
      </c>
      <c r="AC70" s="211"/>
      <c r="AD70" s="205"/>
    </row>
    <row r="71" ht="16.5" hidden="1" customHeight="1" outlineLevel="1">
      <c r="A71" s="1"/>
      <c r="C71" s="220"/>
      <c r="D71" s="216"/>
      <c r="E71" s="217"/>
      <c r="F71" s="198"/>
      <c r="G71" s="216"/>
      <c r="H71" s="216"/>
      <c r="I71" s="199"/>
      <c r="J71" s="1"/>
      <c r="K71" s="1"/>
      <c r="L71" s="1"/>
      <c r="M71" s="1"/>
      <c r="N71" s="1"/>
      <c r="O71" s="13">
        <v>0.0</v>
      </c>
      <c r="P71" s="127" t="s">
        <v>328</v>
      </c>
      <c r="T71" s="1"/>
      <c r="U71" s="37">
        <v>0.0</v>
      </c>
      <c r="V71" s="42"/>
      <c r="W71" s="43"/>
      <c r="X71" s="105"/>
      <c r="Y71" s="38"/>
      <c r="Z71" s="41"/>
      <c r="AA71" s="219"/>
      <c r="AB71" s="206" t="str">
        <f t="shared" si="2"/>
        <v/>
      </c>
      <c r="AC71" s="211"/>
      <c r="AD71" s="205"/>
    </row>
    <row r="72" ht="16.5" hidden="1" customHeight="1" outlineLevel="1">
      <c r="A72" s="1"/>
      <c r="C72" s="220"/>
      <c r="D72" s="216"/>
      <c r="E72" s="217"/>
      <c r="F72" s="198"/>
      <c r="G72" s="216"/>
      <c r="H72" s="216"/>
      <c r="I72" s="199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7">
        <v>0.0</v>
      </c>
      <c r="V72" s="42"/>
      <c r="W72" s="43"/>
      <c r="X72" s="105"/>
      <c r="Y72" s="38"/>
      <c r="Z72" s="41"/>
      <c r="AA72" s="219"/>
      <c r="AB72" s="206" t="str">
        <f t="shared" si="2"/>
        <v/>
      </c>
      <c r="AC72" s="211"/>
      <c r="AD72" s="205"/>
    </row>
    <row r="73" ht="16.5" hidden="1" customHeight="1" outlineLevel="1">
      <c r="A73" s="1"/>
      <c r="C73" s="249"/>
      <c r="D73" s="158"/>
      <c r="E73" s="250"/>
      <c r="F73" s="251"/>
      <c r="G73" s="158"/>
      <c r="H73" s="158"/>
      <c r="I73" s="159"/>
      <c r="J73" s="1"/>
      <c r="K73" s="61"/>
      <c r="L73" s="1"/>
      <c r="M73" s="6" t="s">
        <v>324</v>
      </c>
      <c r="O73" s="6" t="s">
        <v>329</v>
      </c>
      <c r="P73" s="1"/>
      <c r="Q73" s="1"/>
      <c r="R73" s="1"/>
      <c r="S73" s="1"/>
      <c r="T73" s="1"/>
      <c r="U73" s="37">
        <v>0.0</v>
      </c>
      <c r="V73" s="42"/>
      <c r="W73" s="43"/>
      <c r="X73" s="105"/>
      <c r="Y73" s="38"/>
      <c r="Z73" s="41"/>
      <c r="AA73" s="219"/>
      <c r="AB73" s="206" t="str">
        <f t="shared" si="2"/>
        <v/>
      </c>
      <c r="AC73" s="211"/>
      <c r="AD73" s="205"/>
    </row>
    <row r="74" ht="16.5" hidden="1" customHeight="1" outlineLevel="1">
      <c r="A74" s="1"/>
      <c r="B74" s="62" t="s">
        <v>330</v>
      </c>
      <c r="C74" s="245"/>
      <c r="D74" s="22"/>
      <c r="E74" s="23"/>
      <c r="F74" s="194"/>
      <c r="G74" s="22"/>
      <c r="H74" s="22"/>
      <c r="I74" s="25"/>
      <c r="J74" s="1"/>
      <c r="K74" s="1"/>
      <c r="L74" s="1"/>
      <c r="M74" s="11">
        <v>0.0</v>
      </c>
      <c r="N74" s="16"/>
      <c r="O74" s="252">
        <f>G52*0.2</f>
        <v>0</v>
      </c>
      <c r="P74" s="127" t="s">
        <v>331</v>
      </c>
      <c r="T74" s="1"/>
      <c r="U74" s="37">
        <v>0.0</v>
      </c>
      <c r="V74" s="42"/>
      <c r="W74" s="43"/>
      <c r="X74" s="105"/>
      <c r="Y74" s="38"/>
      <c r="Z74" s="41"/>
      <c r="AA74" s="219"/>
      <c r="AB74" s="206" t="str">
        <f t="shared" si="2"/>
        <v/>
      </c>
      <c r="AC74" s="211"/>
      <c r="AD74" s="205"/>
    </row>
    <row r="75" ht="16.5" hidden="1" customHeight="1" outlineLevel="1">
      <c r="A75" s="1"/>
      <c r="C75" s="220"/>
      <c r="D75" s="216"/>
      <c r="E75" s="217"/>
      <c r="F75" s="198"/>
      <c r="G75" s="216"/>
      <c r="H75" s="216"/>
      <c r="I75" s="199"/>
      <c r="J75" s="1"/>
      <c r="K75" s="1"/>
      <c r="L75" s="1"/>
      <c r="M75" s="11">
        <v>0.0</v>
      </c>
      <c r="N75" s="16"/>
      <c r="O75" s="252">
        <f>IF(H56="--","--",G52*0.1*IFS(H56&gt;0,H56,TRUE,0.25))</f>
        <v>0</v>
      </c>
      <c r="P75" s="127" t="s">
        <v>141</v>
      </c>
      <c r="T75" s="1"/>
      <c r="U75" s="37">
        <v>0.0</v>
      </c>
      <c r="V75" s="42"/>
      <c r="W75" s="43"/>
      <c r="X75" s="105"/>
      <c r="Y75" s="38"/>
      <c r="Z75" s="41"/>
      <c r="AA75" s="219"/>
      <c r="AB75" s="206" t="str">
        <f t="shared" si="2"/>
        <v/>
      </c>
      <c r="AC75" s="211"/>
      <c r="AD75" s="205"/>
    </row>
    <row r="76" ht="16.5" hidden="1" customHeight="1" outlineLevel="1">
      <c r="A76" s="1"/>
      <c r="C76" s="220"/>
      <c r="D76" s="216"/>
      <c r="E76" s="217"/>
      <c r="F76" s="198"/>
      <c r="G76" s="216"/>
      <c r="H76" s="216"/>
      <c r="I76" s="199"/>
      <c r="J76" s="1"/>
      <c r="K76" s="1"/>
      <c r="L76" s="1"/>
      <c r="M76" s="11">
        <v>0.0</v>
      </c>
      <c r="N76" s="16"/>
      <c r="O76" s="252">
        <f>IF(H58="--","--",G52*0.1*H58)</f>
        <v>0</v>
      </c>
      <c r="P76" s="127" t="s">
        <v>138</v>
      </c>
      <c r="T76" s="1"/>
      <c r="U76" s="37">
        <v>0.0</v>
      </c>
      <c r="V76" s="42"/>
      <c r="W76" s="43"/>
      <c r="X76" s="105"/>
      <c r="Y76" s="38"/>
      <c r="Z76" s="41"/>
      <c r="AA76" s="219"/>
      <c r="AB76" s="206" t="str">
        <f t="shared" si="2"/>
        <v/>
      </c>
      <c r="AC76" s="211"/>
      <c r="AD76" s="205"/>
    </row>
    <row r="77" ht="16.5" hidden="1" customHeight="1" outlineLevel="1">
      <c r="A77" s="1"/>
      <c r="C77" s="249"/>
      <c r="D77" s="158"/>
      <c r="E77" s="250"/>
      <c r="F77" s="251"/>
      <c r="G77" s="158"/>
      <c r="H77" s="158"/>
      <c r="I77" s="159"/>
      <c r="J77" s="1"/>
      <c r="K77" s="1"/>
      <c r="L77" s="1"/>
      <c r="M77" s="11">
        <v>0.0</v>
      </c>
      <c r="N77" s="16"/>
      <c r="O77" s="196">
        <v>0.0</v>
      </c>
      <c r="P77" s="127" t="s">
        <v>135</v>
      </c>
      <c r="T77" s="1"/>
      <c r="U77" s="37">
        <v>0.0</v>
      </c>
      <c r="V77" s="42"/>
      <c r="W77" s="43"/>
      <c r="X77" s="105"/>
      <c r="Y77" s="38"/>
      <c r="Z77" s="41"/>
      <c r="AA77" s="219"/>
      <c r="AB77" s="206" t="str">
        <f t="shared" si="2"/>
        <v/>
      </c>
      <c r="AC77" s="211"/>
      <c r="AD77" s="205"/>
    </row>
    <row r="78" ht="16.5" hidden="1" customHeight="1" outlineLevel="1">
      <c r="A78" s="1"/>
      <c r="B78" s="62" t="s">
        <v>332</v>
      </c>
      <c r="C78" s="245"/>
      <c r="D78" s="22"/>
      <c r="E78" s="23"/>
      <c r="F78" s="194"/>
      <c r="G78" s="22"/>
      <c r="H78" s="22"/>
      <c r="I78" s="25"/>
      <c r="J78" s="1"/>
      <c r="K78" s="1"/>
      <c r="L78" s="1"/>
      <c r="M78" s="11">
        <v>0.0</v>
      </c>
      <c r="N78" s="16"/>
      <c r="O78" s="196">
        <v>0.0</v>
      </c>
      <c r="P78" s="127" t="s">
        <v>326</v>
      </c>
      <c r="T78" s="1"/>
      <c r="U78" s="37">
        <v>0.0</v>
      </c>
      <c r="V78" s="42"/>
      <c r="W78" s="43"/>
      <c r="X78" s="105"/>
      <c r="Y78" s="38"/>
      <c r="Z78" s="41"/>
      <c r="AA78" s="219"/>
      <c r="AB78" s="206" t="str">
        <f t="shared" si="2"/>
        <v/>
      </c>
      <c r="AC78" s="211"/>
      <c r="AD78" s="205"/>
    </row>
    <row r="79" ht="16.5" hidden="1" customHeight="1" outlineLevel="1">
      <c r="A79" s="1"/>
      <c r="C79" s="85"/>
      <c r="D79" s="27"/>
      <c r="E79" s="28"/>
      <c r="F79" s="214"/>
      <c r="G79" s="27"/>
      <c r="H79" s="27"/>
      <c r="I79" s="30"/>
      <c r="J79" s="1"/>
      <c r="K79" s="1"/>
      <c r="L79" s="1"/>
      <c r="M79" s="11">
        <v>0.0</v>
      </c>
      <c r="N79" s="16"/>
      <c r="O79" s="196">
        <v>0.0</v>
      </c>
      <c r="P79" s="253"/>
      <c r="Q79" s="15"/>
      <c r="R79" s="15"/>
      <c r="S79" s="9"/>
      <c r="T79" s="1"/>
      <c r="U79" s="37">
        <v>0.0</v>
      </c>
      <c r="V79" s="42"/>
      <c r="W79" s="43"/>
      <c r="X79" s="105"/>
      <c r="Y79" s="38"/>
      <c r="Z79" s="41"/>
      <c r="AA79" s="219"/>
      <c r="AB79" s="206" t="str">
        <f t="shared" si="2"/>
        <v/>
      </c>
      <c r="AC79" s="211"/>
      <c r="AD79" s="205"/>
    </row>
    <row r="80" ht="16.5" hidden="1" customHeight="1" outlineLevel="1">
      <c r="A80" s="1"/>
      <c r="B80" s="62" t="s">
        <v>333</v>
      </c>
      <c r="C80" s="254"/>
      <c r="D80" s="4"/>
      <c r="E80" s="255"/>
      <c r="F80" s="256"/>
      <c r="G80" s="4"/>
      <c r="H80" s="4"/>
      <c r="I80" s="257"/>
      <c r="J80" s="1"/>
      <c r="K80" s="1"/>
      <c r="L80" s="1"/>
      <c r="M80" s="11">
        <v>0.0</v>
      </c>
      <c r="N80" s="16"/>
      <c r="O80" s="196">
        <v>0.0</v>
      </c>
      <c r="P80" s="253"/>
      <c r="Q80" s="15"/>
      <c r="R80" s="15"/>
      <c r="S80" s="9"/>
      <c r="T80" s="1"/>
      <c r="U80" s="37">
        <v>0.0</v>
      </c>
      <c r="V80" s="42"/>
      <c r="W80" s="43"/>
      <c r="X80" s="105"/>
      <c r="Y80" s="38"/>
      <c r="Z80" s="41"/>
      <c r="AA80" s="219"/>
      <c r="AB80" s="206" t="str">
        <f t="shared" si="2"/>
        <v/>
      </c>
      <c r="AC80" s="211"/>
      <c r="AD80" s="205"/>
    </row>
    <row r="81" ht="16.5" hidden="1" customHeight="1" outlineLevel="1">
      <c r="A81" s="1"/>
      <c r="C81" s="220"/>
      <c r="D81" s="216"/>
      <c r="E81" s="217"/>
      <c r="F81" s="198"/>
      <c r="G81" s="216"/>
      <c r="H81" s="216"/>
      <c r="I81" s="199"/>
      <c r="J81" s="1"/>
      <c r="K81" s="1"/>
      <c r="L81" s="1"/>
      <c r="M81" s="11">
        <v>0.0</v>
      </c>
      <c r="N81" s="16"/>
      <c r="O81" s="196">
        <v>0.0</v>
      </c>
      <c r="P81" s="253"/>
      <c r="Q81" s="15"/>
      <c r="R81" s="15"/>
      <c r="S81" s="9"/>
      <c r="T81" s="1"/>
      <c r="U81" s="37">
        <v>0.0</v>
      </c>
      <c r="V81" s="42"/>
      <c r="W81" s="43"/>
      <c r="X81" s="105"/>
      <c r="Y81" s="38"/>
      <c r="Z81" s="41"/>
      <c r="AA81" s="219"/>
      <c r="AB81" s="206" t="str">
        <f t="shared" si="2"/>
        <v/>
      </c>
      <c r="AC81" s="211"/>
      <c r="AD81" s="205"/>
    </row>
    <row r="82" ht="16.5" hidden="1" customHeight="1" outlineLevel="1">
      <c r="A82" s="1"/>
      <c r="C82" s="249"/>
      <c r="D82" s="158"/>
      <c r="E82" s="250"/>
      <c r="F82" s="251"/>
      <c r="G82" s="158"/>
      <c r="H82" s="158"/>
      <c r="I82" s="159"/>
      <c r="J82" s="1"/>
      <c r="K82" s="1"/>
      <c r="L82" s="1"/>
      <c r="M82" s="11">
        <v>0.0</v>
      </c>
      <c r="N82" s="16"/>
      <c r="O82" s="196">
        <v>0.0</v>
      </c>
      <c r="P82" s="253"/>
      <c r="Q82" s="15"/>
      <c r="R82" s="15"/>
      <c r="S82" s="9"/>
      <c r="T82" s="1"/>
      <c r="U82" s="37">
        <v>0.0</v>
      </c>
      <c r="V82" s="42"/>
      <c r="W82" s="43"/>
      <c r="X82" s="105"/>
      <c r="Y82" s="38"/>
      <c r="Z82" s="41"/>
      <c r="AA82" s="219"/>
      <c r="AB82" s="206" t="str">
        <f t="shared" si="2"/>
        <v/>
      </c>
      <c r="AC82" s="211"/>
      <c r="AD82" s="205"/>
    </row>
    <row r="83" ht="16.5" hidden="1" customHeight="1" outlineLevel="1">
      <c r="A83" s="1"/>
      <c r="B83" s="62" t="s">
        <v>334</v>
      </c>
      <c r="C83" s="245"/>
      <c r="D83" s="22"/>
      <c r="E83" s="23"/>
      <c r="F83" s="194"/>
      <c r="G83" s="22"/>
      <c r="H83" s="22"/>
      <c r="I83" s="25"/>
      <c r="J83" s="1"/>
      <c r="K83" s="80" t="s">
        <v>227</v>
      </c>
      <c r="T83" s="1"/>
      <c r="U83" s="37">
        <v>0.0</v>
      </c>
      <c r="V83" s="42"/>
      <c r="W83" s="43"/>
      <c r="X83" s="105"/>
      <c r="Y83" s="38"/>
      <c r="Z83" s="41"/>
      <c r="AA83" s="219"/>
      <c r="AB83" s="206" t="str">
        <f t="shared" si="2"/>
        <v/>
      </c>
      <c r="AC83" s="211"/>
      <c r="AD83" s="205"/>
    </row>
    <row r="84" ht="16.5" hidden="1" customHeight="1" outlineLevel="1">
      <c r="A84" s="1"/>
      <c r="C84" s="85"/>
      <c r="D84" s="27"/>
      <c r="E84" s="28"/>
      <c r="F84" s="214"/>
      <c r="G84" s="27"/>
      <c r="H84" s="27"/>
      <c r="I84" s="30"/>
      <c r="J84" s="1"/>
      <c r="K84" s="4"/>
      <c r="L84" s="4"/>
      <c r="M84" s="4"/>
      <c r="N84" s="4"/>
      <c r="O84" s="4"/>
      <c r="P84" s="4"/>
      <c r="Q84" s="4"/>
      <c r="R84" s="4"/>
      <c r="S84" s="4"/>
      <c r="T84" s="1"/>
      <c r="U84" s="37">
        <v>0.0</v>
      </c>
      <c r="V84" s="42"/>
      <c r="W84" s="43"/>
      <c r="X84" s="105"/>
      <c r="Y84" s="38"/>
      <c r="Z84" s="41"/>
      <c r="AA84" s="219"/>
      <c r="AB84" s="206" t="str">
        <f t="shared" si="2"/>
        <v/>
      </c>
      <c r="AC84" s="211"/>
      <c r="AD84" s="205"/>
    </row>
    <row r="85" ht="16.5" hidden="1" customHeight="1" outlineLevel="1">
      <c r="A85" s="1"/>
      <c r="B85" s="62" t="s">
        <v>335</v>
      </c>
      <c r="C85" s="245"/>
      <c r="D85" s="22"/>
      <c r="E85" s="25"/>
      <c r="F85" s="1"/>
      <c r="G85" s="246" t="s">
        <v>247</v>
      </c>
      <c r="H85" s="15"/>
      <c r="I85" s="9"/>
      <c r="J85" s="1"/>
      <c r="K85" s="62" t="s">
        <v>336</v>
      </c>
      <c r="P85" s="258">
        <v>0.0</v>
      </c>
      <c r="Q85" s="15"/>
      <c r="R85" s="9"/>
      <c r="S85" s="1"/>
      <c r="T85" s="1"/>
      <c r="U85" s="37">
        <v>0.0</v>
      </c>
      <c r="V85" s="42"/>
      <c r="W85" s="43"/>
      <c r="X85" s="105"/>
      <c r="Y85" s="38"/>
      <c r="Z85" s="41"/>
      <c r="AA85" s="219"/>
      <c r="AB85" s="206" t="str">
        <f t="shared" si="2"/>
        <v/>
      </c>
      <c r="AC85" s="211"/>
      <c r="AD85" s="205"/>
    </row>
    <row r="86" ht="16.5" hidden="1" customHeight="1" outlineLevel="1">
      <c r="A86" s="1"/>
      <c r="C86" s="85"/>
      <c r="D86" s="27"/>
      <c r="E86" s="30"/>
      <c r="F86" s="1"/>
      <c r="G86" s="1"/>
      <c r="H86" s="1"/>
      <c r="I86" s="1"/>
      <c r="J86" s="1"/>
      <c r="K86" s="62" t="s">
        <v>337</v>
      </c>
      <c r="P86" s="191">
        <v>0.0</v>
      </c>
      <c r="Q86" s="15"/>
      <c r="R86" s="9"/>
      <c r="S86" s="1"/>
      <c r="T86" s="1"/>
      <c r="U86" s="37">
        <v>0.0</v>
      </c>
      <c r="V86" s="42"/>
      <c r="W86" s="43"/>
      <c r="X86" s="105"/>
      <c r="Y86" s="38"/>
      <c r="Z86" s="41"/>
      <c r="AA86" s="219"/>
      <c r="AB86" s="206" t="str">
        <f t="shared" si="2"/>
        <v/>
      </c>
      <c r="AC86" s="211"/>
      <c r="AD86" s="1"/>
    </row>
    <row r="87" ht="16.5" hidden="1" customHeight="1" outlineLevel="1">
      <c r="A87" s="1"/>
      <c r="B87" s="259" t="s">
        <v>200</v>
      </c>
      <c r="T87" s="1"/>
      <c r="U87" s="37">
        <v>0.0</v>
      </c>
      <c r="V87" s="42"/>
      <c r="W87" s="43"/>
      <c r="X87" s="105"/>
      <c r="Y87" s="38"/>
      <c r="Z87" s="41"/>
      <c r="AA87" s="219"/>
      <c r="AB87" s="206" t="str">
        <f t="shared" si="2"/>
        <v/>
      </c>
      <c r="AC87" s="211"/>
      <c r="AD87" s="1"/>
    </row>
    <row r="88" ht="16.5" hidden="1" customHeight="1" outlineLevel="1">
      <c r="A88" s="1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1"/>
      <c r="U88" s="37">
        <v>0.0</v>
      </c>
      <c r="V88" s="42"/>
      <c r="W88" s="43"/>
      <c r="X88" s="105"/>
      <c r="Y88" s="38"/>
      <c r="Z88" s="41"/>
      <c r="AA88" s="219"/>
      <c r="AB88" s="206" t="str">
        <f t="shared" si="2"/>
        <v/>
      </c>
      <c r="AC88" s="211"/>
      <c r="AD88" s="1"/>
    </row>
    <row r="89" ht="16.5" hidden="1" customHeight="1" outlineLevel="1">
      <c r="A89" s="1"/>
      <c r="B89" s="6" t="s">
        <v>202</v>
      </c>
      <c r="D89" s="6" t="s">
        <v>293</v>
      </c>
      <c r="G89" s="6" t="s">
        <v>13</v>
      </c>
      <c r="H89" s="6" t="s">
        <v>203</v>
      </c>
      <c r="I89" s="6" t="s">
        <v>206</v>
      </c>
      <c r="K89" s="6" t="s">
        <v>338</v>
      </c>
      <c r="O89" s="6" t="s">
        <v>339</v>
      </c>
      <c r="Q89" s="6" t="s">
        <v>208</v>
      </c>
      <c r="T89" s="1"/>
      <c r="U89" s="37">
        <v>0.0</v>
      </c>
      <c r="V89" s="42"/>
      <c r="W89" s="43"/>
      <c r="X89" s="105"/>
      <c r="Y89" s="38"/>
      <c r="Z89" s="41"/>
      <c r="AA89" s="135"/>
      <c r="AB89" s="206" t="str">
        <f t="shared" si="2"/>
        <v/>
      </c>
      <c r="AC89" s="207"/>
      <c r="AD89" s="1"/>
    </row>
    <row r="90" ht="16.5" hidden="1" customHeight="1" outlineLevel="1">
      <c r="A90" s="1"/>
      <c r="B90" s="130"/>
      <c r="C90" s="131"/>
      <c r="D90" s="241"/>
      <c r="E90" s="35"/>
      <c r="F90" s="131"/>
      <c r="G90" s="201"/>
      <c r="H90" s="33"/>
      <c r="I90" s="228"/>
      <c r="J90" s="131"/>
      <c r="K90" s="228"/>
      <c r="L90" s="35"/>
      <c r="M90" s="131"/>
      <c r="N90" s="33"/>
      <c r="O90" s="229"/>
      <c r="P90" s="131"/>
      <c r="Q90" s="34"/>
      <c r="R90" s="35"/>
      <c r="S90" s="36"/>
      <c r="T90" s="1"/>
      <c r="U90" s="37">
        <v>0.0</v>
      </c>
      <c r="V90" s="42"/>
      <c r="W90" s="43"/>
      <c r="X90" s="105"/>
      <c r="Y90" s="38"/>
      <c r="Z90" s="41"/>
      <c r="AA90" s="219"/>
      <c r="AB90" s="206" t="str">
        <f t="shared" si="2"/>
        <v/>
      </c>
      <c r="AC90" s="211"/>
      <c r="AD90" s="1"/>
    </row>
    <row r="91" ht="16.5" hidden="1" customHeight="1" outlineLevel="1">
      <c r="A91" s="1"/>
      <c r="B91" s="134"/>
      <c r="C91" s="105"/>
      <c r="D91" s="225"/>
      <c r="E91" s="43"/>
      <c r="F91" s="105"/>
      <c r="G91" s="39"/>
      <c r="H91" s="40"/>
      <c r="I91" s="230"/>
      <c r="J91" s="105"/>
      <c r="K91" s="230"/>
      <c r="L91" s="43"/>
      <c r="M91" s="105"/>
      <c r="N91" s="40"/>
      <c r="O91" s="231"/>
      <c r="P91" s="105"/>
      <c r="Q91" s="121"/>
      <c r="R91" s="43"/>
      <c r="S91" s="44"/>
      <c r="T91" s="1"/>
      <c r="U91" s="37">
        <v>0.0</v>
      </c>
      <c r="V91" s="42"/>
      <c r="W91" s="43"/>
      <c r="X91" s="105"/>
      <c r="Y91" s="38"/>
      <c r="Z91" s="41"/>
      <c r="AA91" s="135"/>
      <c r="AB91" s="206" t="str">
        <f t="shared" si="2"/>
        <v/>
      </c>
      <c r="AC91" s="211"/>
      <c r="AD91" s="1"/>
    </row>
    <row r="92" ht="16.5" hidden="1" customHeight="1" outlineLevel="1">
      <c r="A92" s="1"/>
      <c r="B92" s="134"/>
      <c r="C92" s="105"/>
      <c r="D92" s="225"/>
      <c r="E92" s="43"/>
      <c r="F92" s="105"/>
      <c r="G92" s="39"/>
      <c r="H92" s="40"/>
      <c r="I92" s="230"/>
      <c r="J92" s="105"/>
      <c r="K92" s="230"/>
      <c r="L92" s="43"/>
      <c r="M92" s="105"/>
      <c r="N92" s="40"/>
      <c r="O92" s="231"/>
      <c r="P92" s="105"/>
      <c r="Q92" s="121"/>
      <c r="R92" s="43"/>
      <c r="S92" s="44"/>
      <c r="T92" s="1"/>
      <c r="U92" s="45">
        <v>0.0</v>
      </c>
      <c r="V92" s="49"/>
      <c r="W92" s="50"/>
      <c r="X92" s="141"/>
      <c r="Y92" s="46"/>
      <c r="Z92" s="48"/>
      <c r="AA92" s="232"/>
      <c r="AB92" s="233" t="str">
        <f t="shared" si="2"/>
        <v/>
      </c>
      <c r="AC92" s="234"/>
      <c r="AD92" s="1"/>
    </row>
    <row r="93" ht="16.5" hidden="1" customHeight="1" outlineLevel="1">
      <c r="A93" s="1"/>
      <c r="B93" s="151"/>
      <c r="C93" s="141"/>
      <c r="D93" s="235"/>
      <c r="E93" s="50"/>
      <c r="F93" s="141"/>
      <c r="G93" s="183"/>
      <c r="H93" s="47"/>
      <c r="I93" s="236"/>
      <c r="J93" s="141"/>
      <c r="K93" s="236"/>
      <c r="L93" s="50"/>
      <c r="M93" s="141"/>
      <c r="N93" s="47"/>
      <c r="O93" s="237"/>
      <c r="P93" s="141"/>
      <c r="Q93" s="144"/>
      <c r="R93" s="50"/>
      <c r="S93" s="51"/>
      <c r="T93" s="1"/>
      <c r="U93" s="95">
        <f>SUM(U64:U92)</f>
        <v>0</v>
      </c>
      <c r="V93" s="1"/>
      <c r="W93" s="1"/>
      <c r="X93" s="1"/>
      <c r="Y93" s="1"/>
      <c r="Z93" s="62" t="s">
        <v>34</v>
      </c>
      <c r="AA93" s="238" t="str">
        <f>SUMPRODUCT(U53:U92,AB53:AB92)&amp;""</f>
        <v>0</v>
      </c>
      <c r="AB93" s="9"/>
      <c r="AC93" s="239">
        <f>SUMPRODUCT(U53:U92,AC53:AC92)</f>
        <v>0</v>
      </c>
      <c r="AD93" s="1"/>
    </row>
    <row r="94" ht="6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</sheetData>
  <mergeCells count="453">
    <mergeCell ref="M7:N7"/>
    <mergeCell ref="R7:S7"/>
    <mergeCell ref="R8:S8"/>
    <mergeCell ref="V8:X8"/>
    <mergeCell ref="R9:S9"/>
    <mergeCell ref="V9:X9"/>
    <mergeCell ref="R10:S10"/>
    <mergeCell ref="V10:X10"/>
    <mergeCell ref="K10:N10"/>
    <mergeCell ref="K11:N11"/>
    <mergeCell ref="R11:S11"/>
    <mergeCell ref="V11:X11"/>
    <mergeCell ref="K12:N12"/>
    <mergeCell ref="V12:X12"/>
    <mergeCell ref="V13:X13"/>
    <mergeCell ref="V17:X17"/>
    <mergeCell ref="V18:X18"/>
    <mergeCell ref="R12:S12"/>
    <mergeCell ref="R13:S13"/>
    <mergeCell ref="R14:S14"/>
    <mergeCell ref="V14:X14"/>
    <mergeCell ref="R15:S15"/>
    <mergeCell ref="V15:X15"/>
    <mergeCell ref="V16:X16"/>
    <mergeCell ref="V21:X21"/>
    <mergeCell ref="V22:X22"/>
    <mergeCell ref="R16:S16"/>
    <mergeCell ref="R17:S17"/>
    <mergeCell ref="R18:S18"/>
    <mergeCell ref="R19:S19"/>
    <mergeCell ref="V19:X19"/>
    <mergeCell ref="R20:S20"/>
    <mergeCell ref="V20:X20"/>
    <mergeCell ref="V24:X24"/>
    <mergeCell ref="V25:X25"/>
    <mergeCell ref="V26:X26"/>
    <mergeCell ref="K20:N20"/>
    <mergeCell ref="K21:S22"/>
    <mergeCell ref="M23:N23"/>
    <mergeCell ref="V23:X23"/>
    <mergeCell ref="M24:N24"/>
    <mergeCell ref="P24:S24"/>
    <mergeCell ref="P25:S25"/>
    <mergeCell ref="F28:I28"/>
    <mergeCell ref="F29:I29"/>
    <mergeCell ref="F21:I21"/>
    <mergeCell ref="F22:I22"/>
    <mergeCell ref="F23:I23"/>
    <mergeCell ref="F24:I24"/>
    <mergeCell ref="F25:I25"/>
    <mergeCell ref="F26:I26"/>
    <mergeCell ref="F27:I27"/>
    <mergeCell ref="M27:N27"/>
    <mergeCell ref="V27:X27"/>
    <mergeCell ref="M28:N28"/>
    <mergeCell ref="P28:S28"/>
    <mergeCell ref="V28:X28"/>
    <mergeCell ref="P29:S29"/>
    <mergeCell ref="V29:X29"/>
    <mergeCell ref="M32:N32"/>
    <mergeCell ref="M33:N33"/>
    <mergeCell ref="P33:S33"/>
    <mergeCell ref="V33:X33"/>
    <mergeCell ref="M34:N34"/>
    <mergeCell ref="P34:S34"/>
    <mergeCell ref="V34:X34"/>
    <mergeCell ref="M29:N29"/>
    <mergeCell ref="M30:N30"/>
    <mergeCell ref="P30:S30"/>
    <mergeCell ref="V30:X30"/>
    <mergeCell ref="M31:N31"/>
    <mergeCell ref="V31:X31"/>
    <mergeCell ref="V32:X32"/>
    <mergeCell ref="C25:E25"/>
    <mergeCell ref="C26:E26"/>
    <mergeCell ref="C27:E27"/>
    <mergeCell ref="C28:E28"/>
    <mergeCell ref="C29:E29"/>
    <mergeCell ref="C30:E30"/>
    <mergeCell ref="F30:I30"/>
    <mergeCell ref="C31:E31"/>
    <mergeCell ref="F31:I31"/>
    <mergeCell ref="C32:E32"/>
    <mergeCell ref="F32:I32"/>
    <mergeCell ref="C33:E33"/>
    <mergeCell ref="F33:I33"/>
    <mergeCell ref="F34:I34"/>
    <mergeCell ref="D45:F45"/>
    <mergeCell ref="D46:F46"/>
    <mergeCell ref="B47:C47"/>
    <mergeCell ref="D47:F47"/>
    <mergeCell ref="B34:B36"/>
    <mergeCell ref="B37:B38"/>
    <mergeCell ref="B39:B40"/>
    <mergeCell ref="C40:E40"/>
    <mergeCell ref="B43:C43"/>
    <mergeCell ref="D43:F43"/>
    <mergeCell ref="D44:F44"/>
    <mergeCell ref="C61:E61"/>
    <mergeCell ref="F61:I61"/>
    <mergeCell ref="C57:E57"/>
    <mergeCell ref="C58:E58"/>
    <mergeCell ref="F58:G58"/>
    <mergeCell ref="H58:I58"/>
    <mergeCell ref="B60:B61"/>
    <mergeCell ref="C60:E60"/>
    <mergeCell ref="F60:I60"/>
    <mergeCell ref="F65:I65"/>
    <mergeCell ref="F66:I66"/>
    <mergeCell ref="B62:B63"/>
    <mergeCell ref="C62:E62"/>
    <mergeCell ref="F62:I62"/>
    <mergeCell ref="C63:E63"/>
    <mergeCell ref="F63:I63"/>
    <mergeCell ref="B64:B65"/>
    <mergeCell ref="F64:I64"/>
    <mergeCell ref="C12:E12"/>
    <mergeCell ref="F12:G12"/>
    <mergeCell ref="B8:B9"/>
    <mergeCell ref="B10:B11"/>
    <mergeCell ref="C10:E10"/>
    <mergeCell ref="F10:G10"/>
    <mergeCell ref="H10:I10"/>
    <mergeCell ref="C11:E11"/>
    <mergeCell ref="H12:I12"/>
    <mergeCell ref="B12:B13"/>
    <mergeCell ref="C13:E13"/>
    <mergeCell ref="B14:B15"/>
    <mergeCell ref="C14:E14"/>
    <mergeCell ref="C15:E15"/>
    <mergeCell ref="C16:E16"/>
    <mergeCell ref="C17:E17"/>
    <mergeCell ref="F14:I14"/>
    <mergeCell ref="F15:I15"/>
    <mergeCell ref="F16:I16"/>
    <mergeCell ref="F17:I17"/>
    <mergeCell ref="F18:I18"/>
    <mergeCell ref="F19:I19"/>
    <mergeCell ref="F20:I20"/>
    <mergeCell ref="C18:E18"/>
    <mergeCell ref="C19:E19"/>
    <mergeCell ref="C20:E20"/>
    <mergeCell ref="C21:E21"/>
    <mergeCell ref="C22:E22"/>
    <mergeCell ref="C23:E23"/>
    <mergeCell ref="C24:E24"/>
    <mergeCell ref="B44:C44"/>
    <mergeCell ref="B45:C45"/>
    <mergeCell ref="B46:C46"/>
    <mergeCell ref="C49:I49"/>
    <mergeCell ref="C50:E50"/>
    <mergeCell ref="F50:G50"/>
    <mergeCell ref="H50:I50"/>
    <mergeCell ref="C68:E68"/>
    <mergeCell ref="F68:I68"/>
    <mergeCell ref="B74:B77"/>
    <mergeCell ref="C74:E74"/>
    <mergeCell ref="C75:E75"/>
    <mergeCell ref="C76:E76"/>
    <mergeCell ref="C77:E77"/>
    <mergeCell ref="C78:E78"/>
    <mergeCell ref="C79:E79"/>
    <mergeCell ref="C80:E80"/>
    <mergeCell ref="C73:E73"/>
    <mergeCell ref="F73:I73"/>
    <mergeCell ref="F74:I74"/>
    <mergeCell ref="F75:I75"/>
    <mergeCell ref="F76:I76"/>
    <mergeCell ref="F77:I77"/>
    <mergeCell ref="F78:I78"/>
    <mergeCell ref="C83:E83"/>
    <mergeCell ref="C84:E84"/>
    <mergeCell ref="C85:E85"/>
    <mergeCell ref="F79:I79"/>
    <mergeCell ref="F80:I80"/>
    <mergeCell ref="C81:E81"/>
    <mergeCell ref="F81:I81"/>
    <mergeCell ref="C82:E82"/>
    <mergeCell ref="F82:I82"/>
    <mergeCell ref="F83:I83"/>
    <mergeCell ref="C69:E69"/>
    <mergeCell ref="F69:I69"/>
    <mergeCell ref="C67:E67"/>
    <mergeCell ref="C70:E70"/>
    <mergeCell ref="F70:I70"/>
    <mergeCell ref="C71:E71"/>
    <mergeCell ref="F71:I71"/>
    <mergeCell ref="C72:E72"/>
    <mergeCell ref="F72:I72"/>
    <mergeCell ref="C64:E64"/>
    <mergeCell ref="C65:E65"/>
    <mergeCell ref="B66:B67"/>
    <mergeCell ref="C66:E66"/>
    <mergeCell ref="F67:I67"/>
    <mergeCell ref="B68:B69"/>
    <mergeCell ref="B70:B73"/>
    <mergeCell ref="B78:B79"/>
    <mergeCell ref="B80:B82"/>
    <mergeCell ref="B83:B84"/>
    <mergeCell ref="B85:B86"/>
    <mergeCell ref="F84:I84"/>
    <mergeCell ref="G85:I85"/>
    <mergeCell ref="C86:E86"/>
    <mergeCell ref="K64:N64"/>
    <mergeCell ref="K65:N65"/>
    <mergeCell ref="K66:N66"/>
    <mergeCell ref="K67:S68"/>
    <mergeCell ref="M69:N69"/>
    <mergeCell ref="P70:S70"/>
    <mergeCell ref="P71:S71"/>
    <mergeCell ref="M70:N70"/>
    <mergeCell ref="M73:N73"/>
    <mergeCell ref="M74:N74"/>
    <mergeCell ref="P74:S74"/>
    <mergeCell ref="P75:S75"/>
    <mergeCell ref="P76:S76"/>
    <mergeCell ref="P77:S77"/>
    <mergeCell ref="P82:S82"/>
    <mergeCell ref="K83:S84"/>
    <mergeCell ref="K85:O85"/>
    <mergeCell ref="P85:R85"/>
    <mergeCell ref="K86:O86"/>
    <mergeCell ref="P86:R86"/>
    <mergeCell ref="M79:N79"/>
    <mergeCell ref="P79:S79"/>
    <mergeCell ref="M80:N80"/>
    <mergeCell ref="P80:S80"/>
    <mergeCell ref="M81:N81"/>
    <mergeCell ref="P81:S81"/>
    <mergeCell ref="M82:N82"/>
    <mergeCell ref="V87:X87"/>
    <mergeCell ref="V88:X88"/>
    <mergeCell ref="V89:X89"/>
    <mergeCell ref="V90:X90"/>
    <mergeCell ref="V91:X91"/>
    <mergeCell ref="V92:X92"/>
    <mergeCell ref="AA93:AB93"/>
    <mergeCell ref="V81:X81"/>
    <mergeCell ref="V82:X82"/>
    <mergeCell ref="V83:X83"/>
    <mergeCell ref="V84:X84"/>
    <mergeCell ref="V85:X85"/>
    <mergeCell ref="V86:X86"/>
    <mergeCell ref="B87:S88"/>
    <mergeCell ref="I89:J89"/>
    <mergeCell ref="I90:J90"/>
    <mergeCell ref="I91:J91"/>
    <mergeCell ref="K91:M91"/>
    <mergeCell ref="I92:J92"/>
    <mergeCell ref="K92:M92"/>
    <mergeCell ref="I93:J93"/>
    <mergeCell ref="K93:M93"/>
    <mergeCell ref="O89:P89"/>
    <mergeCell ref="O90:P90"/>
    <mergeCell ref="O91:P91"/>
    <mergeCell ref="Q91:S91"/>
    <mergeCell ref="O92:P92"/>
    <mergeCell ref="Q92:S92"/>
    <mergeCell ref="O93:P93"/>
    <mergeCell ref="Q93:S93"/>
    <mergeCell ref="B90:C90"/>
    <mergeCell ref="B91:C91"/>
    <mergeCell ref="D91:F91"/>
    <mergeCell ref="B92:C92"/>
    <mergeCell ref="D92:F92"/>
    <mergeCell ref="B93:C93"/>
    <mergeCell ref="D93:F93"/>
    <mergeCell ref="B89:C89"/>
    <mergeCell ref="D89:F89"/>
    <mergeCell ref="K89:N89"/>
    <mergeCell ref="Q89:S89"/>
    <mergeCell ref="D90:F90"/>
    <mergeCell ref="K90:M90"/>
    <mergeCell ref="Q90:S90"/>
    <mergeCell ref="K54:O55"/>
    <mergeCell ref="C55:E55"/>
    <mergeCell ref="R55:S55"/>
    <mergeCell ref="V55:X55"/>
    <mergeCell ref="K56:N56"/>
    <mergeCell ref="V56:X56"/>
    <mergeCell ref="V57:X57"/>
    <mergeCell ref="R60:S60"/>
    <mergeCell ref="R61:S61"/>
    <mergeCell ref="R62:S62"/>
    <mergeCell ref="R63:S63"/>
    <mergeCell ref="R64:S64"/>
    <mergeCell ref="R65:S65"/>
    <mergeCell ref="R66:S66"/>
    <mergeCell ref="R56:S56"/>
    <mergeCell ref="R57:S57"/>
    <mergeCell ref="R58:S58"/>
    <mergeCell ref="V58:X58"/>
    <mergeCell ref="R59:S59"/>
    <mergeCell ref="V59:X59"/>
    <mergeCell ref="V60:X60"/>
    <mergeCell ref="K57:N57"/>
    <mergeCell ref="K58:N58"/>
    <mergeCell ref="K59:N59"/>
    <mergeCell ref="K60:N60"/>
    <mergeCell ref="K61:N61"/>
    <mergeCell ref="K62:N62"/>
    <mergeCell ref="K63:N63"/>
    <mergeCell ref="V61:X61"/>
    <mergeCell ref="V62:X62"/>
    <mergeCell ref="V63:X63"/>
    <mergeCell ref="V64:X64"/>
    <mergeCell ref="V65:X65"/>
    <mergeCell ref="V66:X66"/>
    <mergeCell ref="V67:X67"/>
    <mergeCell ref="M75:N75"/>
    <mergeCell ref="M78:N78"/>
    <mergeCell ref="M76:N76"/>
    <mergeCell ref="M77:N77"/>
    <mergeCell ref="V77:X77"/>
    <mergeCell ref="P78:S78"/>
    <mergeCell ref="V78:X78"/>
    <mergeCell ref="V79:X79"/>
    <mergeCell ref="V80:X80"/>
    <mergeCell ref="V37:X37"/>
    <mergeCell ref="V38:X38"/>
    <mergeCell ref="P31:S31"/>
    <mergeCell ref="P32:S32"/>
    <mergeCell ref="M35:N35"/>
    <mergeCell ref="P35:S35"/>
    <mergeCell ref="V35:X35"/>
    <mergeCell ref="M36:N36"/>
    <mergeCell ref="V36:X36"/>
    <mergeCell ref="C39:E39"/>
    <mergeCell ref="G39:I39"/>
    <mergeCell ref="C34:E34"/>
    <mergeCell ref="C35:E35"/>
    <mergeCell ref="F35:I35"/>
    <mergeCell ref="C36:E36"/>
    <mergeCell ref="F36:I36"/>
    <mergeCell ref="C37:E37"/>
    <mergeCell ref="F37:I37"/>
    <mergeCell ref="B1:AC1"/>
    <mergeCell ref="B2:AC2"/>
    <mergeCell ref="C3:I3"/>
    <mergeCell ref="J3:M3"/>
    <mergeCell ref="N3:P3"/>
    <mergeCell ref="S3:U3"/>
    <mergeCell ref="C4:E4"/>
    <mergeCell ref="G6:I6"/>
    <mergeCell ref="M6:N6"/>
    <mergeCell ref="R6:S6"/>
    <mergeCell ref="V6:X6"/>
    <mergeCell ref="F4:G4"/>
    <mergeCell ref="H4:I4"/>
    <mergeCell ref="K4:O5"/>
    <mergeCell ref="Q4:S5"/>
    <mergeCell ref="U4:AC5"/>
    <mergeCell ref="B6:B7"/>
    <mergeCell ref="C6:E6"/>
    <mergeCell ref="V7:X7"/>
    <mergeCell ref="C7:E7"/>
    <mergeCell ref="K7:L7"/>
    <mergeCell ref="C8:E8"/>
    <mergeCell ref="F8:G8"/>
    <mergeCell ref="H8:I8"/>
    <mergeCell ref="K8:O9"/>
    <mergeCell ref="C9:E9"/>
    <mergeCell ref="K13:N13"/>
    <mergeCell ref="K14:N14"/>
    <mergeCell ref="K15:N15"/>
    <mergeCell ref="K16:N16"/>
    <mergeCell ref="K17:N17"/>
    <mergeCell ref="K18:N18"/>
    <mergeCell ref="K19:N19"/>
    <mergeCell ref="P36:S36"/>
    <mergeCell ref="K37:S38"/>
    <mergeCell ref="C38:E38"/>
    <mergeCell ref="F38:I38"/>
    <mergeCell ref="K39:O39"/>
    <mergeCell ref="P39:R39"/>
    <mergeCell ref="V39:X39"/>
    <mergeCell ref="B52:B53"/>
    <mergeCell ref="B54:B55"/>
    <mergeCell ref="B56:B57"/>
    <mergeCell ref="B58:B59"/>
    <mergeCell ref="B16:B17"/>
    <mergeCell ref="B18:B19"/>
    <mergeCell ref="B20:B21"/>
    <mergeCell ref="B22:B23"/>
    <mergeCell ref="B24:B27"/>
    <mergeCell ref="B28:B31"/>
    <mergeCell ref="B32:B33"/>
    <mergeCell ref="V42:X42"/>
    <mergeCell ref="V43:X43"/>
    <mergeCell ref="V44:X44"/>
    <mergeCell ref="V45:X45"/>
    <mergeCell ref="V46:X46"/>
    <mergeCell ref="AA47:AB47"/>
    <mergeCell ref="K40:O40"/>
    <mergeCell ref="P40:R40"/>
    <mergeCell ref="V40:X40"/>
    <mergeCell ref="B41:S42"/>
    <mergeCell ref="V41:X41"/>
    <mergeCell ref="I43:J43"/>
    <mergeCell ref="Q43:S43"/>
    <mergeCell ref="O44:P44"/>
    <mergeCell ref="O45:P45"/>
    <mergeCell ref="O46:P46"/>
    <mergeCell ref="Q46:S46"/>
    <mergeCell ref="O47:P47"/>
    <mergeCell ref="Q47:S47"/>
    <mergeCell ref="K43:N43"/>
    <mergeCell ref="O43:P43"/>
    <mergeCell ref="I44:J44"/>
    <mergeCell ref="K44:M44"/>
    <mergeCell ref="Q44:S44"/>
    <mergeCell ref="K45:M45"/>
    <mergeCell ref="Q45:S45"/>
    <mergeCell ref="I45:J45"/>
    <mergeCell ref="I46:J46"/>
    <mergeCell ref="K46:M46"/>
    <mergeCell ref="I47:J47"/>
    <mergeCell ref="K47:M47"/>
    <mergeCell ref="B48:AC48"/>
    <mergeCell ref="J49:M49"/>
    <mergeCell ref="N49:P49"/>
    <mergeCell ref="S49:U49"/>
    <mergeCell ref="K50:O51"/>
    <mergeCell ref="Q50:S51"/>
    <mergeCell ref="U50:AC51"/>
    <mergeCell ref="R52:S52"/>
    <mergeCell ref="V52:X52"/>
    <mergeCell ref="M52:N52"/>
    <mergeCell ref="K53:L53"/>
    <mergeCell ref="M53:N53"/>
    <mergeCell ref="R53:S53"/>
    <mergeCell ref="V53:X53"/>
    <mergeCell ref="R54:S54"/>
    <mergeCell ref="V54:X54"/>
    <mergeCell ref="F56:G56"/>
    <mergeCell ref="H56:I56"/>
    <mergeCell ref="C52:E52"/>
    <mergeCell ref="G52:I52"/>
    <mergeCell ref="C53:E53"/>
    <mergeCell ref="C54:E54"/>
    <mergeCell ref="F54:G54"/>
    <mergeCell ref="H54:I54"/>
    <mergeCell ref="C56:E56"/>
    <mergeCell ref="C59:E59"/>
    <mergeCell ref="V75:X75"/>
    <mergeCell ref="V76:X76"/>
    <mergeCell ref="V68:X68"/>
    <mergeCell ref="V69:X69"/>
    <mergeCell ref="V70:X70"/>
    <mergeCell ref="V71:X71"/>
    <mergeCell ref="V72:X72"/>
    <mergeCell ref="V73:X73"/>
    <mergeCell ref="V74:X74"/>
  </mergeCells>
  <conditionalFormatting sqref="AA47 AA93">
    <cfRule type="expression" dxfId="8" priority="1">
      <formula>VALUE(AA47)&gt;VALUE(G39)</formula>
    </cfRule>
  </conditionalFormatting>
  <conditionalFormatting sqref="V3 V49">
    <cfRule type="expression" dxfId="8" priority="2">
      <formula>V3&gt;VALUE(G39)</formula>
    </cfRule>
  </conditionalFormatting>
  <dataValidations>
    <dataValidation type="list" allowBlank="1" showErrorMessage="1" sqref="H10 H56">
      <formula1>"--,0,1,2,3,4,5,6,7,8,9,10,11,12,13,14,15,16"</formula1>
    </dataValidation>
    <dataValidation type="list" allowBlank="1" sqref="P33:P36 P79:P82">
      <formula1>"Biosphere,Construction Deck,Emergency Low Berths,Environmental Equipment,Fuel Processor,Grav Screen,Holographic Hull,Launch Tubes,Loading Belt,Low Berths,Medical Bay,Recovery Deck,Training Facilities,UNREP System"</formula1>
    </dataValidation>
    <dataValidation type="list" allowBlank="1" showErrorMessage="1" sqref="H12 H58">
      <formula1>"--,1,2,3,4,5,6,7,8,9"</formula1>
    </dataValidation>
  </dataValidation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5F06"/>
    <outlinePr summaryBelow="0" summaryRight="0"/>
  </sheetPr>
  <sheetViews>
    <sheetView showGridLines="0" workbookViewId="0"/>
  </sheetViews>
  <sheetFormatPr customHeight="1" defaultColWidth="14.43" defaultRowHeight="15.75" outlineLevelRow="2"/>
  <cols>
    <col customWidth="1" min="1" max="1" width="1.29"/>
    <col customWidth="1" min="2" max="17" width="3.57"/>
    <col customWidth="1" min="18" max="18" width="4.71"/>
    <col customWidth="1" min="19" max="34" width="3.57"/>
    <col customWidth="1" min="35" max="35" width="4.71"/>
    <col customWidth="1" min="36" max="51" width="3.57"/>
    <col customWidth="1" min="52" max="52" width="1.29"/>
  </cols>
  <sheetData>
    <row r="1" ht="16.5" customHeight="1">
      <c r="A1" s="1"/>
      <c r="B1" s="187" t="s">
        <v>299</v>
      </c>
      <c r="AZ1" s="1"/>
    </row>
    <row r="2" ht="36.0" customHeight="1">
      <c r="A2" s="1"/>
      <c r="B2" s="3" t="str">
        <f>IF(AND(H3="",H4="",H5=""),"SPACECRAFT",UPPER(IF(H3&lt;&gt;"",H3,"SPACECRAFT") &amp; IF(OR(H4&lt;&gt;"",H5&lt;&gt;""),": ",) &amp; IF(H4&lt;&gt;"",H4&amp;IF(H5&lt;&gt;"",IF(LEFT(H5)="("," ",", "),),) &amp; IF(H5&lt;&gt;"",H5,))) &amp; IF(Q7&lt;&gt;""," [TL"&amp;Q7&amp;"]",)</f>
        <v>SPACECRAFT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1"/>
    </row>
    <row r="3" ht="16.5" customHeight="1" outlineLevel="1">
      <c r="A3" s="1"/>
      <c r="B3" s="62" t="s">
        <v>340</v>
      </c>
      <c r="H3" s="8"/>
      <c r="I3" s="15"/>
      <c r="J3" s="15"/>
      <c r="K3" s="15"/>
      <c r="L3" s="15"/>
      <c r="M3" s="15"/>
      <c r="N3" s="15"/>
      <c r="O3" s="15"/>
      <c r="P3" s="15"/>
      <c r="Q3" s="9"/>
      <c r="R3" s="1"/>
      <c r="S3" s="80" t="s">
        <v>341</v>
      </c>
      <c r="AI3" s="1"/>
      <c r="AJ3" s="80" t="s">
        <v>342</v>
      </c>
      <c r="AZ3" s="1"/>
    </row>
    <row r="4" ht="16.5" customHeight="1" outlineLevel="1">
      <c r="A4" s="1"/>
      <c r="B4" s="62" t="s">
        <v>343</v>
      </c>
      <c r="H4" s="8"/>
      <c r="I4" s="15"/>
      <c r="J4" s="15"/>
      <c r="K4" s="15"/>
      <c r="L4" s="15"/>
      <c r="M4" s="15"/>
      <c r="N4" s="15"/>
      <c r="O4" s="15"/>
      <c r="P4" s="15"/>
      <c r="Q4" s="9"/>
      <c r="R4" s="1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1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1"/>
    </row>
    <row r="5" ht="16.5" customHeight="1" outlineLevel="1">
      <c r="A5" s="1"/>
      <c r="B5" s="62" t="s">
        <v>302</v>
      </c>
      <c r="H5" s="8"/>
      <c r="I5" s="15"/>
      <c r="J5" s="15"/>
      <c r="K5" s="15"/>
      <c r="L5" s="15"/>
      <c r="M5" s="15"/>
      <c r="N5" s="15"/>
      <c r="O5" s="15"/>
      <c r="P5" s="15"/>
      <c r="Q5" s="9"/>
      <c r="R5" s="1"/>
      <c r="S5" s="62" t="s">
        <v>344</v>
      </c>
      <c r="W5" s="260">
        <v>0.0</v>
      </c>
      <c r="X5" s="155"/>
      <c r="Y5" s="155"/>
      <c r="Z5" s="156"/>
      <c r="AA5" s="1"/>
      <c r="AB5" s="1"/>
      <c r="AC5" s="1"/>
      <c r="AD5" s="1"/>
      <c r="AE5" s="1"/>
      <c r="AF5" s="1"/>
      <c r="AG5" s="1"/>
      <c r="AH5" s="1"/>
      <c r="AI5" s="1"/>
      <c r="AJ5" s="62" t="s">
        <v>313</v>
      </c>
      <c r="AN5" s="8"/>
      <c r="AO5" s="15"/>
      <c r="AP5" s="15"/>
      <c r="AQ5" s="15"/>
      <c r="AR5" s="15"/>
      <c r="AS5" s="9"/>
      <c r="AT5" s="62" t="s">
        <v>345</v>
      </c>
      <c r="AW5" s="261">
        <v>0.0</v>
      </c>
      <c r="AX5" s="15"/>
      <c r="AY5" s="9"/>
      <c r="AZ5" s="1"/>
    </row>
    <row r="6" ht="16.5" customHeight="1" outlineLevel="1">
      <c r="A6" s="1"/>
      <c r="B6" s="62" t="s">
        <v>337</v>
      </c>
      <c r="H6" s="191">
        <v>0.0</v>
      </c>
      <c r="I6" s="15"/>
      <c r="J6" s="15"/>
      <c r="K6" s="15"/>
      <c r="L6" s="15"/>
      <c r="M6" s="15"/>
      <c r="N6" s="9"/>
      <c r="O6" s="1"/>
      <c r="P6" s="1"/>
      <c r="Q6" s="1"/>
      <c r="R6" s="1"/>
      <c r="S6" s="62" t="s">
        <v>346</v>
      </c>
      <c r="W6" s="262">
        <v>0.0</v>
      </c>
      <c r="X6" s="263"/>
      <c r="Y6" s="263"/>
      <c r="Z6" s="163"/>
      <c r="AA6" s="1"/>
      <c r="AB6" s="1"/>
      <c r="AC6" s="1"/>
      <c r="AD6" s="1"/>
      <c r="AE6" s="1"/>
      <c r="AF6" s="6" t="s">
        <v>347</v>
      </c>
      <c r="AI6" s="1"/>
      <c r="AJ6" s="62" t="s">
        <v>348</v>
      </c>
      <c r="AS6" s="145" t="b">
        <v>0</v>
      </c>
      <c r="AT6" s="62" t="s">
        <v>349</v>
      </c>
      <c r="AY6" s="145" t="b">
        <v>0</v>
      </c>
      <c r="AZ6" s="1"/>
    </row>
    <row r="7" ht="16.5" customHeight="1" outlineLevel="1">
      <c r="A7" s="1"/>
      <c r="B7" s="62" t="s">
        <v>336</v>
      </c>
      <c r="H7" s="264">
        <v>0.0</v>
      </c>
      <c r="I7" s="15"/>
      <c r="J7" s="15"/>
      <c r="K7" s="15"/>
      <c r="L7" s="15"/>
      <c r="M7" s="15"/>
      <c r="N7" s="9"/>
      <c r="O7" s="1"/>
      <c r="P7" s="62" t="s">
        <v>230</v>
      </c>
      <c r="Q7" s="13"/>
      <c r="R7" s="1"/>
      <c r="S7" s="62" t="s">
        <v>350</v>
      </c>
      <c r="Y7" s="8" t="s">
        <v>351</v>
      </c>
      <c r="Z7" s="15"/>
      <c r="AA7" s="15"/>
      <c r="AB7" s="15"/>
      <c r="AC7" s="15"/>
      <c r="AD7" s="15"/>
      <c r="AE7" s="9"/>
      <c r="AF7" s="265" t="str">
        <f>IFERROR(VLOOKUP(Y7,T_ScHC,2,FALSE),"--")</f>
        <v>Partial</v>
      </c>
      <c r="AG7" s="15"/>
      <c r="AH7" s="9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6" t="s">
        <v>352</v>
      </c>
      <c r="AV7" s="6" t="s">
        <v>353</v>
      </c>
      <c r="AX7" s="1"/>
      <c r="AY7" s="1"/>
      <c r="AZ7" s="1"/>
    </row>
    <row r="8" ht="16.5" customHeight="1" outlineLevel="1">
      <c r="A8" s="1"/>
      <c r="B8" s="80" t="s">
        <v>354</v>
      </c>
      <c r="R8" s="1"/>
      <c r="S8" s="62" t="s">
        <v>355</v>
      </c>
      <c r="W8" s="8" t="s">
        <v>356</v>
      </c>
      <c r="X8" s="15"/>
      <c r="Y8" s="15"/>
      <c r="Z8" s="9"/>
      <c r="AA8" s="62" t="s">
        <v>357</v>
      </c>
      <c r="AE8" s="8" t="s">
        <v>62</v>
      </c>
      <c r="AF8" s="15"/>
      <c r="AG8" s="15"/>
      <c r="AH8" s="9"/>
      <c r="AI8" s="1"/>
      <c r="AJ8" s="62" t="s">
        <v>358</v>
      </c>
      <c r="AT8" s="11">
        <v>0.0</v>
      </c>
      <c r="AU8" s="266"/>
      <c r="AV8" s="267">
        <v>0.0</v>
      </c>
      <c r="AW8" s="9"/>
      <c r="AX8" s="1"/>
      <c r="AY8" s="1"/>
      <c r="AZ8" s="1"/>
    </row>
    <row r="9" ht="16.5" customHeight="1" outlineLevel="1">
      <c r="A9" s="1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1"/>
      <c r="S9" s="62" t="s">
        <v>359</v>
      </c>
      <c r="Z9" s="145" t="b">
        <v>0</v>
      </c>
      <c r="AA9" s="62" t="s">
        <v>360</v>
      </c>
      <c r="AH9" s="145" t="b">
        <v>0</v>
      </c>
      <c r="AI9" s="1"/>
      <c r="AJ9" s="80" t="s">
        <v>323</v>
      </c>
      <c r="AZ9" s="1"/>
    </row>
    <row r="10" ht="16.5" customHeight="1" outlineLevel="1">
      <c r="A10" s="1"/>
      <c r="B10" s="62" t="str">
        <f>IF(J10,"R","M") &amp; "-Drive Rating"</f>
        <v>M-Drive Rating</v>
      </c>
      <c r="H10" s="268">
        <v>1.0</v>
      </c>
      <c r="I10" s="156"/>
      <c r="J10" s="145" t="b">
        <v>0</v>
      </c>
      <c r="K10" s="127" t="s">
        <v>361</v>
      </c>
      <c r="R10" s="1"/>
      <c r="S10" s="1"/>
      <c r="T10" s="1"/>
      <c r="U10" s="1"/>
      <c r="V10" s="1"/>
      <c r="W10" s="1"/>
      <c r="X10" s="1"/>
      <c r="Y10" s="62" t="s">
        <v>362</v>
      </c>
      <c r="Z10" s="145" t="b">
        <v>0</v>
      </c>
      <c r="AA10" s="62" t="s">
        <v>363</v>
      </c>
      <c r="AH10" s="145" t="b">
        <v>0</v>
      </c>
      <c r="AI10" s="1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1"/>
    </row>
    <row r="11" ht="16.5" customHeight="1" outlineLevel="1">
      <c r="A11" s="1"/>
      <c r="B11" s="62" t="str">
        <f>AR16 &amp; " Rating"</f>
        <v>J-Drive Rating</v>
      </c>
      <c r="H11" s="268">
        <v>1.0</v>
      </c>
      <c r="I11" s="156"/>
      <c r="J11" s="269" t="s">
        <v>364</v>
      </c>
      <c r="K11" s="15"/>
      <c r="L11" s="15"/>
      <c r="M11" s="15"/>
      <c r="N11" s="9"/>
      <c r="O11" s="127" t="s">
        <v>365</v>
      </c>
      <c r="P11" s="1"/>
      <c r="Q11" s="1"/>
      <c r="R11" s="1"/>
      <c r="S11" s="1"/>
      <c r="T11" s="1"/>
      <c r="U11" s="1"/>
      <c r="V11" s="1"/>
      <c r="W11" s="6" t="s">
        <v>66</v>
      </c>
      <c r="Y11" s="6" t="s">
        <v>34</v>
      </c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6" t="s">
        <v>324</v>
      </c>
      <c r="AR11" s="6" t="s">
        <v>325</v>
      </c>
      <c r="AT11" s="6" t="s">
        <v>366</v>
      </c>
      <c r="AV11" s="6" t="s">
        <v>367</v>
      </c>
      <c r="AX11" s="1"/>
      <c r="AY11" s="1"/>
      <c r="AZ11" s="1"/>
    </row>
    <row r="12" ht="16.5" customHeight="1" outlineLevel="1">
      <c r="A12" s="1"/>
      <c r="B12" s="62" t="s">
        <v>368</v>
      </c>
      <c r="H12" s="270" t="s">
        <v>62</v>
      </c>
      <c r="I12" s="163"/>
      <c r="J12" s="1"/>
      <c r="K12" s="1"/>
      <c r="L12" s="1"/>
      <c r="M12" s="1"/>
      <c r="N12" s="1"/>
      <c r="O12" s="1"/>
      <c r="P12" s="1"/>
      <c r="Q12" s="1"/>
      <c r="R12" s="1"/>
      <c r="S12" s="62" t="s">
        <v>369</v>
      </c>
      <c r="W12" s="268">
        <v>0.0</v>
      </c>
      <c r="X12" s="271"/>
      <c r="Y12" s="272">
        <f>IFERROR(FLOOR(W5/IFS(W5&gt;=100000,1.5,W5&gt;=25000,2,TRUE,2.5)*VLOOKUP(Y7,T_ScHC,3,FALSE)*IFS(LEFT(W8)="R",1.1,LEFT(W8)="L",0.9,TRUE,1)),"--")</f>
        <v>0</v>
      </c>
      <c r="Z12" s="156"/>
      <c r="AA12" s="62" t="s">
        <v>370</v>
      </c>
      <c r="AG12" s="268">
        <v>0.0</v>
      </c>
      <c r="AH12" s="156"/>
      <c r="AI12" s="1"/>
      <c r="AJ12" s="62" t="s">
        <v>371</v>
      </c>
      <c r="AP12" s="273">
        <f t="array" ref="AP12">SUM(IFS(LEFT(AV14)="F",AX14,LEFT(AV14)="H",ROUND(AX14/2,0),TRUE,0),IF(AW15:AW17,AX15:AX17,0),IF(AO16:AO17,AP16:AP17,0),IF(AO19:AO24,AP19:AP24,0),IF(AW19:AW29,AX19:AX29,0))</f>
        <v>0</v>
      </c>
      <c r="AQ12" s="271"/>
      <c r="AR12" s="274" t="str">
        <f>IFERROR(VLOOKUP(AN5,T_ScPP,2,FALSE)*AW5,"--")</f>
        <v>--</v>
      </c>
      <c r="AS12" s="156"/>
      <c r="AT12" s="124">
        <f>AT8</f>
        <v>0</v>
      </c>
      <c r="AU12" s="9"/>
      <c r="AV12" s="71" t="str">
        <f>IFERROR(AR12-AP12,"--")</f>
        <v>--</v>
      </c>
      <c r="AW12" s="9"/>
      <c r="AX12" s="6" t="s">
        <v>372</v>
      </c>
      <c r="AZ12" s="1"/>
    </row>
    <row r="13" ht="16.5" customHeight="1" outlineLevel="1">
      <c r="A13" s="1"/>
      <c r="B13" s="62" t="s">
        <v>373</v>
      </c>
      <c r="J13" s="11" t="s">
        <v>62</v>
      </c>
      <c r="K13" s="9"/>
      <c r="L13" s="1"/>
      <c r="M13" s="1"/>
      <c r="N13" s="62" t="s">
        <v>374</v>
      </c>
      <c r="Q13" s="145" t="b">
        <v>0</v>
      </c>
      <c r="R13" s="1"/>
      <c r="S13" s="1"/>
      <c r="T13" s="1"/>
      <c r="U13" s="1"/>
      <c r="V13" s="1"/>
      <c r="W13" s="1"/>
      <c r="X13" s="1"/>
      <c r="Y13" s="1"/>
      <c r="Z13" s="1"/>
      <c r="AA13" s="62" t="s">
        <v>375</v>
      </c>
      <c r="AC13" s="8" t="s">
        <v>62</v>
      </c>
      <c r="AD13" s="15"/>
      <c r="AE13" s="15"/>
      <c r="AF13" s="15"/>
      <c r="AG13" s="15"/>
      <c r="AH13" s="9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94" t="s">
        <v>376</v>
      </c>
      <c r="AZ13" s="1"/>
    </row>
    <row r="14" ht="16.5" customHeight="1" outlineLevel="1">
      <c r="A14" s="1"/>
      <c r="B14" s="80" t="s">
        <v>377</v>
      </c>
      <c r="R14" s="1"/>
      <c r="S14" s="127" t="s">
        <v>378</v>
      </c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62" t="s">
        <v>331</v>
      </c>
      <c r="AV14" s="275" t="s">
        <v>379</v>
      </c>
      <c r="AW14" s="9"/>
      <c r="AX14" s="248">
        <f>W5*0.2</f>
        <v>0</v>
      </c>
      <c r="AY14" s="9"/>
      <c r="AZ14" s="1"/>
    </row>
    <row r="15" ht="16.5" customHeight="1" outlineLevel="1">
      <c r="A15" s="1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1"/>
      <c r="S15" s="245"/>
      <c r="T15" s="22"/>
      <c r="U15" s="22"/>
      <c r="V15" s="22"/>
      <c r="W15" s="22"/>
      <c r="X15" s="22"/>
      <c r="Y15" s="22"/>
      <c r="Z15" s="23"/>
      <c r="AA15" s="194"/>
      <c r="AB15" s="22"/>
      <c r="AC15" s="22"/>
      <c r="AD15" s="22"/>
      <c r="AE15" s="22"/>
      <c r="AF15" s="22"/>
      <c r="AG15" s="22"/>
      <c r="AH15" s="25"/>
      <c r="AI15" s="1"/>
      <c r="AJ15" s="1"/>
      <c r="AK15" s="1"/>
      <c r="AL15" s="1"/>
      <c r="AM15" s="1"/>
      <c r="AN15" s="1"/>
      <c r="AO15" s="94" t="s">
        <v>376</v>
      </c>
      <c r="AP15" s="276" t="s">
        <v>372</v>
      </c>
      <c r="AR15" s="62" t="str">
        <f>IF(R10,"R","M") &amp; "-Drive"</f>
        <v>M-Drive</v>
      </c>
      <c r="AW15" s="145" t="b">
        <v>0</v>
      </c>
      <c r="AX15" s="248">
        <f>IFS(J10,0,H10="--",0,TRUE,W5*0.1*IF(H10=0,0.25,H10))</f>
        <v>0</v>
      </c>
      <c r="AY15" s="9"/>
      <c r="AZ15" s="1"/>
    </row>
    <row r="16" ht="16.5" customHeight="1" outlineLevel="1">
      <c r="A16" s="1"/>
      <c r="B16" s="1"/>
      <c r="C16" s="1"/>
      <c r="D16" s="1"/>
      <c r="E16" s="1"/>
      <c r="F16" s="6"/>
      <c r="J16" s="6" t="s">
        <v>380</v>
      </c>
      <c r="R16" s="1"/>
      <c r="S16" s="220"/>
      <c r="T16" s="216"/>
      <c r="U16" s="216"/>
      <c r="V16" s="216"/>
      <c r="W16" s="216"/>
      <c r="X16" s="216"/>
      <c r="Y16" s="216"/>
      <c r="Z16" s="217"/>
      <c r="AA16" s="198"/>
      <c r="AB16" s="216"/>
      <c r="AC16" s="216"/>
      <c r="AD16" s="216"/>
      <c r="AE16" s="216"/>
      <c r="AF16" s="216"/>
      <c r="AG16" s="216"/>
      <c r="AH16" s="199"/>
      <c r="AI16" s="1"/>
      <c r="AJ16" s="62" t="s">
        <v>326</v>
      </c>
      <c r="AO16" s="145" t="b">
        <v>0</v>
      </c>
      <c r="AP16" s="248">
        <f>AY62</f>
        <v>0</v>
      </c>
      <c r="AQ16" s="9"/>
      <c r="AR16" s="62" t="str">
        <f>IFS(LEFT(J11)="J","J-Drive",LEFT(J11)="S","SF Drive",TRUE,J11)</f>
        <v>J-Drive</v>
      </c>
      <c r="AW16" s="145" t="b">
        <v>0</v>
      </c>
      <c r="AX16" s="248">
        <f>IF(H11="--",0,IFS(LEFT(J11)="J",W5*0.1*H11,OR(LEFT(J11)="H",LEFT(J11)="W"),W5*(H11*2+8)/100,LEFT(J11)="S",W5*0.5*H11,TRUE,0))</f>
        <v>0</v>
      </c>
      <c r="AY16" s="9"/>
      <c r="AZ16" s="1"/>
    </row>
    <row r="17" ht="16.5" customHeight="1" outlineLevel="1">
      <c r="A17" s="1"/>
      <c r="B17" s="62" t="s">
        <v>381</v>
      </c>
      <c r="F17" s="277">
        <v>0.0</v>
      </c>
      <c r="G17" s="15"/>
      <c r="H17" s="15"/>
      <c r="I17" s="9"/>
      <c r="J17" s="245"/>
      <c r="K17" s="22"/>
      <c r="L17" s="22"/>
      <c r="M17" s="23"/>
      <c r="N17" s="194"/>
      <c r="O17" s="22"/>
      <c r="P17" s="22"/>
      <c r="Q17" s="25"/>
      <c r="R17" s="1"/>
      <c r="S17" s="85"/>
      <c r="T17" s="27"/>
      <c r="U17" s="27"/>
      <c r="V17" s="27"/>
      <c r="W17" s="27"/>
      <c r="X17" s="27"/>
      <c r="Y17" s="27"/>
      <c r="Z17" s="28"/>
      <c r="AA17" s="214"/>
      <c r="AB17" s="27"/>
      <c r="AC17" s="27"/>
      <c r="AD17" s="27"/>
      <c r="AE17" s="27"/>
      <c r="AF17" s="27"/>
      <c r="AG17" s="27"/>
      <c r="AH17" s="30"/>
      <c r="AI17" s="1"/>
      <c r="AJ17" s="62" t="s">
        <v>382</v>
      </c>
      <c r="AO17" s="145" t="b">
        <v>0</v>
      </c>
      <c r="AP17" s="248">
        <f>AP53*30+AP54*20+AP55*10+IF(AP57,30,0)+IF(AP58,100,0)+AX53*50+AX54*75+AX55*100</f>
        <v>0</v>
      </c>
      <c r="AQ17" s="9"/>
      <c r="AR17" s="62" t="s">
        <v>135</v>
      </c>
      <c r="AW17" s="145" t="b">
        <v>0</v>
      </c>
      <c r="AX17" s="248">
        <f>B30</f>
        <v>0</v>
      </c>
      <c r="AY17" s="9"/>
      <c r="AZ17" s="1"/>
    </row>
    <row r="18" ht="16.5" customHeight="1" outlineLevel="1">
      <c r="A18" s="1"/>
      <c r="B18" s="62" t="s">
        <v>383</v>
      </c>
      <c r="F18" s="277">
        <v>0.0</v>
      </c>
      <c r="G18" s="15"/>
      <c r="H18" s="15"/>
      <c r="I18" s="9"/>
      <c r="J18" s="85"/>
      <c r="K18" s="27"/>
      <c r="L18" s="27"/>
      <c r="M18" s="28"/>
      <c r="N18" s="214"/>
      <c r="O18" s="27"/>
      <c r="P18" s="27"/>
      <c r="Q18" s="30"/>
      <c r="R18" s="1"/>
      <c r="S18" s="80" t="s">
        <v>384</v>
      </c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ht="16.5" customHeight="1" outlineLevel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1"/>
      <c r="AJ19" s="62" t="s">
        <v>385</v>
      </c>
      <c r="AO19" s="145" t="b">
        <v>0</v>
      </c>
      <c r="AP19" s="248">
        <f>AP43*1</f>
        <v>0</v>
      </c>
      <c r="AQ19" s="9"/>
      <c r="AR19" s="62" t="s">
        <v>386</v>
      </c>
      <c r="AW19" s="145" t="b">
        <v>0</v>
      </c>
      <c r="AX19" s="248">
        <f>IF(H12="--",0,W5*0.25*H12)</f>
        <v>0</v>
      </c>
      <c r="AY19" s="9"/>
      <c r="AZ19" s="1"/>
    </row>
    <row r="20" ht="16.5" customHeight="1" outlineLevel="1">
      <c r="A20" s="1"/>
      <c r="B20" s="62" t="s">
        <v>387</v>
      </c>
      <c r="I20" s="145" t="b">
        <v>0</v>
      </c>
      <c r="J20" s="62" t="s">
        <v>388</v>
      </c>
      <c r="Q20" s="145" t="b">
        <v>0</v>
      </c>
      <c r="R20" s="1"/>
      <c r="S20" s="245"/>
      <c r="T20" s="22"/>
      <c r="U20" s="22"/>
      <c r="V20" s="22"/>
      <c r="W20" s="22"/>
      <c r="X20" s="22"/>
      <c r="Y20" s="22"/>
      <c r="Z20" s="23"/>
      <c r="AA20" s="194"/>
      <c r="AB20" s="22"/>
      <c r="AC20" s="22"/>
      <c r="AD20" s="22"/>
      <c r="AE20" s="22"/>
      <c r="AF20" s="22"/>
      <c r="AG20" s="22"/>
      <c r="AH20" s="25"/>
      <c r="AI20" s="1"/>
      <c r="AJ20" s="62" t="s">
        <v>389</v>
      </c>
      <c r="AO20" s="145" t="b">
        <v>0</v>
      </c>
      <c r="AP20" s="248">
        <f t="shared" ref="AP20:AP21" si="1">AX40*1</f>
        <v>0</v>
      </c>
      <c r="AQ20" s="9"/>
      <c r="AR20" s="62" t="s">
        <v>390</v>
      </c>
      <c r="AW20" s="145" t="b">
        <v>0</v>
      </c>
      <c r="AX20" s="248">
        <f>AX42*1</f>
        <v>0</v>
      </c>
      <c r="AY20" s="9"/>
      <c r="AZ20" s="1"/>
    </row>
    <row r="21" ht="16.5" customHeight="1" outlineLevel="1">
      <c r="A21" s="1"/>
      <c r="B21" s="62" t="s">
        <v>391</v>
      </c>
      <c r="G21" s="277">
        <v>0.0</v>
      </c>
      <c r="H21" s="15"/>
      <c r="I21" s="9"/>
      <c r="J21" s="71" t="str">
        <f>G21*20 &amp; " tons of fuel per day"</f>
        <v>0 tons of fuel per day</v>
      </c>
      <c r="K21" s="15"/>
      <c r="L21" s="15"/>
      <c r="M21" s="15"/>
      <c r="N21" s="15"/>
      <c r="O21" s="15"/>
      <c r="P21" s="15"/>
      <c r="Q21" s="9"/>
      <c r="R21" s="1"/>
      <c r="S21" s="220"/>
      <c r="T21" s="216"/>
      <c r="U21" s="216"/>
      <c r="V21" s="216"/>
      <c r="W21" s="216"/>
      <c r="X21" s="216"/>
      <c r="Y21" s="216"/>
      <c r="Z21" s="217"/>
      <c r="AA21" s="198"/>
      <c r="AB21" s="216"/>
      <c r="AC21" s="216"/>
      <c r="AD21" s="216"/>
      <c r="AE21" s="216"/>
      <c r="AF21" s="216"/>
      <c r="AG21" s="216"/>
      <c r="AH21" s="199"/>
      <c r="AI21" s="1"/>
      <c r="AJ21" s="62" t="s">
        <v>392</v>
      </c>
      <c r="AO21" s="145" t="b">
        <v>0</v>
      </c>
      <c r="AP21" s="248">
        <f t="shared" si="1"/>
        <v>0</v>
      </c>
      <c r="AQ21" s="9"/>
      <c r="AR21" s="62" t="s">
        <v>359</v>
      </c>
      <c r="AW21" s="145" t="b">
        <v>0</v>
      </c>
      <c r="AX21" s="248">
        <f>IF(Z9,W5/2,0)</f>
        <v>0</v>
      </c>
      <c r="AY21" s="9"/>
      <c r="AZ21" s="1"/>
    </row>
    <row r="22" ht="16.5" customHeight="1" outlineLevel="1">
      <c r="A22" s="1"/>
      <c r="B22" s="62" t="s">
        <v>393</v>
      </c>
      <c r="I22" s="13">
        <v>0.0</v>
      </c>
      <c r="J22" s="62" t="s">
        <v>394</v>
      </c>
      <c r="Q22" s="13">
        <v>0.0</v>
      </c>
      <c r="R22" s="1"/>
      <c r="S22" s="220"/>
      <c r="T22" s="216"/>
      <c r="U22" s="216"/>
      <c r="V22" s="216"/>
      <c r="W22" s="216"/>
      <c r="X22" s="216"/>
      <c r="Y22" s="216"/>
      <c r="Z22" s="217"/>
      <c r="AA22" s="198"/>
      <c r="AB22" s="216"/>
      <c r="AC22" s="216"/>
      <c r="AD22" s="216"/>
      <c r="AE22" s="216"/>
      <c r="AF22" s="216"/>
      <c r="AG22" s="216"/>
      <c r="AH22" s="199"/>
      <c r="AI22" s="1"/>
      <c r="AJ22" s="61"/>
      <c r="AK22" s="61"/>
      <c r="AL22" s="1"/>
      <c r="AM22" s="1"/>
      <c r="AN22" s="62" t="s">
        <v>395</v>
      </c>
      <c r="AO22" s="145" t="b">
        <v>0</v>
      </c>
      <c r="AP22" s="248">
        <f>AX37*1</f>
        <v>0</v>
      </c>
      <c r="AQ22" s="9"/>
      <c r="AR22" s="62" t="s">
        <v>396</v>
      </c>
      <c r="AW22" s="145" t="b">
        <v>0</v>
      </c>
      <c r="AX22" s="248">
        <f>AX34*2</f>
        <v>0</v>
      </c>
      <c r="AY22" s="9"/>
      <c r="AZ22" s="1"/>
    </row>
    <row r="23" ht="16.5" customHeight="1" outlineLevel="1">
      <c r="A23" s="1"/>
      <c r="B23" s="62" t="s">
        <v>397</v>
      </c>
      <c r="I23" s="13">
        <v>0.0</v>
      </c>
      <c r="J23" s="62" t="s">
        <v>398</v>
      </c>
      <c r="Q23" s="13">
        <v>0.0</v>
      </c>
      <c r="R23" s="1"/>
      <c r="S23" s="220"/>
      <c r="T23" s="216"/>
      <c r="U23" s="216"/>
      <c r="V23" s="216"/>
      <c r="W23" s="216"/>
      <c r="X23" s="216"/>
      <c r="Y23" s="216"/>
      <c r="Z23" s="217"/>
      <c r="AA23" s="198"/>
      <c r="AB23" s="216"/>
      <c r="AC23" s="216"/>
      <c r="AD23" s="216"/>
      <c r="AE23" s="216"/>
      <c r="AF23" s="216"/>
      <c r="AG23" s="216"/>
      <c r="AH23" s="199"/>
      <c r="AI23" s="1"/>
      <c r="AJ23" s="62" t="s">
        <v>399</v>
      </c>
      <c r="AO23" s="145" t="b">
        <v>0</v>
      </c>
      <c r="AP23" s="248">
        <f>IF(P92="--",0,1)</f>
        <v>0</v>
      </c>
      <c r="AQ23" s="9"/>
      <c r="AR23" s="62" t="s">
        <v>400</v>
      </c>
      <c r="AW23" s="145" t="b">
        <v>0</v>
      </c>
      <c r="AX23" s="278">
        <f>AP35*1</f>
        <v>0</v>
      </c>
      <c r="AY23" s="9"/>
      <c r="AZ23" s="1"/>
    </row>
    <row r="24" ht="16.5" customHeight="1" outlineLevel="1">
      <c r="A24" s="1"/>
      <c r="B24" s="80" t="s">
        <v>401</v>
      </c>
      <c r="R24" s="1"/>
      <c r="S24" s="85"/>
      <c r="T24" s="27"/>
      <c r="U24" s="27"/>
      <c r="V24" s="27"/>
      <c r="W24" s="27"/>
      <c r="X24" s="27"/>
      <c r="Y24" s="27"/>
      <c r="Z24" s="28"/>
      <c r="AA24" s="214"/>
      <c r="AB24" s="27"/>
      <c r="AC24" s="27"/>
      <c r="AD24" s="27"/>
      <c r="AE24" s="27"/>
      <c r="AF24" s="27"/>
      <c r="AG24" s="27"/>
      <c r="AH24" s="30"/>
      <c r="AI24" s="1"/>
      <c r="AJ24" s="62" t="s">
        <v>391</v>
      </c>
      <c r="AO24" s="145" t="b">
        <v>0</v>
      </c>
      <c r="AP24" s="278">
        <f>G21</f>
        <v>0</v>
      </c>
      <c r="AQ24" s="9"/>
      <c r="AR24" s="62" t="s">
        <v>402</v>
      </c>
      <c r="AW24" s="145" t="b">
        <v>0</v>
      </c>
      <c r="AX24" s="248">
        <f>CEILING(AP40/4)</f>
        <v>0</v>
      </c>
      <c r="AY24" s="9"/>
      <c r="AZ24" s="1"/>
    </row>
    <row r="25" ht="16.5" customHeight="1" outlineLevel="1">
      <c r="A25" s="1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1"/>
      <c r="S25" s="80" t="s">
        <v>403</v>
      </c>
      <c r="AI25" s="1"/>
      <c r="AJ25" s="1"/>
      <c r="AK25" s="1"/>
      <c r="AL25" s="1"/>
      <c r="AM25" s="1"/>
      <c r="AN25" s="1"/>
      <c r="AO25" s="1"/>
      <c r="AP25" s="1"/>
      <c r="AQ25" s="1"/>
      <c r="AR25" s="62" t="s">
        <v>404</v>
      </c>
      <c r="AW25" s="145" t="b">
        <v>0</v>
      </c>
      <c r="AX25" s="248">
        <f>CEILING(P76/10)</f>
        <v>0</v>
      </c>
      <c r="AY25" s="9"/>
      <c r="AZ25" s="1"/>
    </row>
    <row r="26" ht="16.5" customHeight="1" outlineLevel="1">
      <c r="A26" s="1"/>
      <c r="B26" s="62" t="s">
        <v>405</v>
      </c>
      <c r="G26" s="8" t="s">
        <v>406</v>
      </c>
      <c r="H26" s="15"/>
      <c r="I26" s="15"/>
      <c r="J26" s="15"/>
      <c r="K26" s="9"/>
      <c r="L26" s="13">
        <v>0.0</v>
      </c>
      <c r="M26" s="62" t="s">
        <v>40</v>
      </c>
      <c r="P26" s="248">
        <f>IFERROR(VLOOKUP(G26,T_ScST,3,FALSE),"--")</f>
        <v>-4</v>
      </c>
      <c r="Q26" s="9"/>
      <c r="R26" s="1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"/>
      <c r="AJ26" s="1"/>
      <c r="AK26" s="1"/>
      <c r="AL26" s="1"/>
      <c r="AM26" s="1"/>
      <c r="AN26" s="1"/>
      <c r="AO26" s="62" t="s">
        <v>407</v>
      </c>
      <c r="AW26" s="145" t="b">
        <v>0</v>
      </c>
      <c r="AX26" s="248">
        <f>P77</f>
        <v>0</v>
      </c>
      <c r="AY26" s="9"/>
      <c r="AZ26" s="1"/>
    </row>
    <row r="27" ht="16.5" customHeight="1" outlineLevel="1">
      <c r="A27" s="1"/>
      <c r="B27" s="62" t="s">
        <v>408</v>
      </c>
      <c r="G27" s="279" t="str">
        <f>IFERROR(VLOOKUP(G26,T_ScST,2,FALSE),"--")</f>
        <v>Lidar, Radar</v>
      </c>
      <c r="H27" s="54"/>
      <c r="I27" s="54"/>
      <c r="J27" s="54"/>
      <c r="K27" s="54"/>
      <c r="L27" s="54"/>
      <c r="M27" s="54"/>
      <c r="N27" s="54"/>
      <c r="O27" s="54"/>
      <c r="P27" s="54"/>
      <c r="Q27" s="79"/>
      <c r="R27" s="1"/>
      <c r="S27" s="245"/>
      <c r="T27" s="22"/>
      <c r="U27" s="22"/>
      <c r="V27" s="22"/>
      <c r="W27" s="22"/>
      <c r="X27" s="22"/>
      <c r="Y27" s="22"/>
      <c r="Z27" s="23"/>
      <c r="AA27" s="194"/>
      <c r="AB27" s="22"/>
      <c r="AC27" s="22"/>
      <c r="AD27" s="22"/>
      <c r="AE27" s="22"/>
      <c r="AF27" s="22"/>
      <c r="AG27" s="22"/>
      <c r="AH27" s="25"/>
      <c r="AI27" s="1"/>
      <c r="AJ27" s="1"/>
      <c r="AK27" s="1"/>
      <c r="AL27" s="1"/>
      <c r="AM27" s="1"/>
      <c r="AN27" s="1"/>
      <c r="AO27" s="62" t="s">
        <v>409</v>
      </c>
      <c r="AW27" s="145" t="b">
        <v>0</v>
      </c>
      <c r="AX27" s="248">
        <f>N72</f>
        <v>0</v>
      </c>
      <c r="AY27" s="9"/>
      <c r="AZ27" s="1"/>
    </row>
    <row r="28" ht="16.5" customHeight="1" outlineLevel="1">
      <c r="A28" s="1"/>
      <c r="G28" s="280"/>
      <c r="H28" s="263"/>
      <c r="I28" s="263"/>
      <c r="J28" s="263"/>
      <c r="K28" s="263"/>
      <c r="L28" s="263"/>
      <c r="M28" s="263"/>
      <c r="N28" s="263"/>
      <c r="O28" s="263"/>
      <c r="P28" s="263"/>
      <c r="Q28" s="163"/>
      <c r="R28" s="1"/>
      <c r="S28" s="220"/>
      <c r="T28" s="216"/>
      <c r="U28" s="216"/>
      <c r="V28" s="216"/>
      <c r="W28" s="216"/>
      <c r="X28" s="216"/>
      <c r="Y28" s="216"/>
      <c r="Z28" s="217"/>
      <c r="AA28" s="198"/>
      <c r="AB28" s="216"/>
      <c r="AC28" s="216"/>
      <c r="AD28" s="216"/>
      <c r="AE28" s="216"/>
      <c r="AF28" s="216"/>
      <c r="AG28" s="216"/>
      <c r="AH28" s="199"/>
      <c r="AI28" s="1"/>
      <c r="AJ28" s="1"/>
      <c r="AK28" s="1"/>
      <c r="AL28" s="1"/>
      <c r="AM28" s="1"/>
      <c r="AN28" s="1"/>
      <c r="AO28" s="62" t="s">
        <v>410</v>
      </c>
      <c r="AW28" s="145" t="b">
        <v>0</v>
      </c>
      <c r="AX28" s="248">
        <f>IFS(Z57="TL16",500,Z57="TL17",1200,TRUE,0)</f>
        <v>0</v>
      </c>
      <c r="AY28" s="9"/>
      <c r="AZ28" s="1"/>
    </row>
    <row r="29" ht="16.5" customHeight="1" outlineLevel="1">
      <c r="A29" s="1"/>
      <c r="B29" s="95">
        <f>IFERROR(VLOOKUP(G26,T_ScST,4,FALSE),"--")</f>
        <v>0</v>
      </c>
      <c r="C29" s="281" t="s">
        <v>411</v>
      </c>
      <c r="F29" s="282" t="s">
        <v>412</v>
      </c>
      <c r="P29" s="145" t="b">
        <v>0</v>
      </c>
      <c r="Q29" s="137">
        <f>IF(P29,1,0)</f>
        <v>0</v>
      </c>
      <c r="R29" s="1"/>
      <c r="S29" s="85"/>
      <c r="T29" s="27"/>
      <c r="U29" s="27"/>
      <c r="V29" s="27"/>
      <c r="W29" s="27"/>
      <c r="X29" s="27"/>
      <c r="Y29" s="27"/>
      <c r="Z29" s="28"/>
      <c r="AA29" s="214"/>
      <c r="AB29" s="27"/>
      <c r="AC29" s="27"/>
      <c r="AD29" s="27"/>
      <c r="AE29" s="27"/>
      <c r="AF29" s="27"/>
      <c r="AG29" s="27"/>
      <c r="AH29" s="30"/>
      <c r="AI29" s="1"/>
      <c r="AJ29" s="1"/>
      <c r="AK29" s="1"/>
      <c r="AL29" s="1"/>
      <c r="AM29" s="1"/>
      <c r="AN29" s="1"/>
      <c r="AO29" s="62" t="s">
        <v>413</v>
      </c>
      <c r="AW29" s="145" t="b">
        <v>0</v>
      </c>
      <c r="AX29" s="248">
        <f>AX35*10</f>
        <v>0</v>
      </c>
      <c r="AY29" s="9"/>
      <c r="AZ29" s="1"/>
    </row>
    <row r="30" ht="16.5" customHeight="1" outlineLevel="1">
      <c r="A30" s="1"/>
      <c r="B30" s="95">
        <f>B29*Q41*Q42*Q43+SUM(Q29:Q40)</f>
        <v>0</v>
      </c>
      <c r="C30" s="281" t="s">
        <v>414</v>
      </c>
      <c r="F30" s="62" t="s">
        <v>415</v>
      </c>
      <c r="P30" s="13">
        <v>0.0</v>
      </c>
      <c r="Q30" s="137">
        <f>IF(P30&gt;-1,P30,0)</f>
        <v>0</v>
      </c>
      <c r="R30" s="1"/>
      <c r="S30" s="80" t="s">
        <v>416</v>
      </c>
      <c r="AI30" s="1"/>
      <c r="AJ30" s="80" t="s">
        <v>417</v>
      </c>
      <c r="AZ30" s="1"/>
    </row>
    <row r="31" ht="16.5" customHeight="1" outlineLevel="1">
      <c r="A31" s="1"/>
      <c r="B31" s="1"/>
      <c r="C31" s="1"/>
      <c r="D31" s="1"/>
      <c r="E31" s="1"/>
      <c r="F31" s="282" t="s">
        <v>418</v>
      </c>
      <c r="P31" s="145" t="b">
        <v>0</v>
      </c>
      <c r="Q31" s="137">
        <f>IF(P31,2,0)</f>
        <v>0</v>
      </c>
      <c r="R31" s="1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1"/>
    </row>
    <row r="32" ht="16.5" customHeight="1" outlineLevel="1">
      <c r="A32" s="1"/>
      <c r="B32" s="1"/>
      <c r="C32" s="1"/>
      <c r="D32" s="1"/>
      <c r="E32" s="1"/>
      <c r="F32" s="282" t="s">
        <v>419</v>
      </c>
      <c r="P32" s="145" t="b">
        <v>0</v>
      </c>
      <c r="Q32" s="137">
        <v>0.0</v>
      </c>
      <c r="R32" s="1"/>
      <c r="S32" s="61"/>
      <c r="T32" s="1"/>
      <c r="U32" s="1"/>
      <c r="V32" s="1"/>
      <c r="W32" s="6" t="s">
        <v>420</v>
      </c>
      <c r="AB32" s="276" t="s">
        <v>421</v>
      </c>
      <c r="AD32" s="6" t="s">
        <v>422</v>
      </c>
      <c r="AE32" s="6" t="s">
        <v>423</v>
      </c>
      <c r="AF32" s="1"/>
      <c r="AG32" s="1"/>
      <c r="AH32" s="1"/>
      <c r="AI32" s="1"/>
      <c r="AJ32" s="283" t="s">
        <v>424</v>
      </c>
      <c r="AZ32" s="1"/>
    </row>
    <row r="33" ht="16.5" customHeight="1" outlineLevel="1">
      <c r="A33" s="1"/>
      <c r="B33" s="1"/>
      <c r="C33" s="1"/>
      <c r="D33" s="1"/>
      <c r="E33" s="1"/>
      <c r="F33" s="282" t="s">
        <v>425</v>
      </c>
      <c r="P33" s="145" t="b">
        <v>0</v>
      </c>
      <c r="Q33" s="137">
        <f t="shared" ref="Q33:Q36" si="2">IF(P33,1,0)</f>
        <v>0</v>
      </c>
      <c r="R33" s="1"/>
      <c r="S33" s="62" t="s">
        <v>426</v>
      </c>
      <c r="W33" s="8" t="s">
        <v>427</v>
      </c>
      <c r="X33" s="15"/>
      <c r="Y33" s="15"/>
      <c r="Z33" s="15"/>
      <c r="AA33" s="266"/>
      <c r="AB33" s="110">
        <f>IFERROR(VLOOKUP(W33,T_ScComp,2,FALSE),0)</f>
        <v>5</v>
      </c>
      <c r="AC33" s="9"/>
      <c r="AD33" s="145" t="b">
        <v>0</v>
      </c>
      <c r="AE33" s="145" t="b">
        <v>0</v>
      </c>
      <c r="AF33" s="1"/>
      <c r="AG33" s="1"/>
      <c r="AH33" s="1"/>
      <c r="AI33" s="1"/>
      <c r="AZ33" s="1"/>
    </row>
    <row r="34" ht="16.5" customHeight="1" outlineLevel="1">
      <c r="A34" s="1"/>
      <c r="B34" s="1"/>
      <c r="C34" s="1"/>
      <c r="D34" s="1"/>
      <c r="F34" s="62" t="s">
        <v>428</v>
      </c>
      <c r="P34" s="145" t="b">
        <v>0</v>
      </c>
      <c r="Q34" s="137">
        <f t="shared" si="2"/>
        <v>0</v>
      </c>
      <c r="R34" s="1"/>
      <c r="S34" s="62" t="s">
        <v>429</v>
      </c>
      <c r="W34" s="8" t="s">
        <v>62</v>
      </c>
      <c r="X34" s="15"/>
      <c r="Y34" s="15"/>
      <c r="Z34" s="15"/>
      <c r="AA34" s="266"/>
      <c r="AB34" s="109">
        <f>IFERROR(VLOOKUP(W34,T_ScComp,2,FALSE),0)</f>
        <v>0</v>
      </c>
      <c r="AC34" s="79"/>
      <c r="AD34" s="145" t="b">
        <v>0</v>
      </c>
      <c r="AE34" s="145" t="b">
        <v>0</v>
      </c>
      <c r="AF34" s="1"/>
      <c r="AG34" s="1"/>
      <c r="AH34" s="1"/>
      <c r="AI34" s="1"/>
      <c r="AJ34" s="62" t="s">
        <v>430</v>
      </c>
      <c r="AP34" s="11">
        <v>0.0</v>
      </c>
      <c r="AQ34" s="9"/>
      <c r="AR34" s="62" t="s">
        <v>431</v>
      </c>
      <c r="AX34" s="284" t="s">
        <v>247</v>
      </c>
      <c r="AY34" s="9"/>
      <c r="AZ34" s="1"/>
    </row>
    <row r="35" ht="16.5" customHeight="1" outlineLevel="1">
      <c r="A35" s="1"/>
      <c r="B35" s="1"/>
      <c r="C35" s="1"/>
      <c r="D35" s="1"/>
      <c r="E35" s="1"/>
      <c r="F35" s="282" t="s">
        <v>432</v>
      </c>
      <c r="P35" s="145" t="b">
        <v>0</v>
      </c>
      <c r="Q35" s="137">
        <f t="shared" si="2"/>
        <v>0</v>
      </c>
      <c r="R35" s="1"/>
      <c r="S35" s="1"/>
      <c r="T35" s="1"/>
      <c r="U35" s="1"/>
      <c r="V35" s="1"/>
      <c r="W35" s="62" t="s">
        <v>433</v>
      </c>
      <c r="AB35" s="285">
        <f t="array" ref="AB35">SUM(IF(S39:S48,T39:T48+IF($AD$33,IF(LEFT(U39:U48,6)="Jump C",-5,0),0),0),IF(AA37:AA43,AB37:AB43+IF($AD$33,IF(LEFT(AC37:AC43,6)="Jump C",-5,0),0),0),IF(AA45:AA48,AB45:AB48,0))</f>
        <v>0</v>
      </c>
      <c r="AC35" s="156"/>
      <c r="AD35" s="1"/>
      <c r="AE35" s="1"/>
      <c r="AF35" s="1"/>
      <c r="AG35" s="1"/>
      <c r="AH35" s="1"/>
      <c r="AI35" s="1"/>
      <c r="AJ35" s="62" t="s">
        <v>434</v>
      </c>
      <c r="AP35" s="284" t="s">
        <v>247</v>
      </c>
      <c r="AQ35" s="9"/>
      <c r="AR35" s="62" t="s">
        <v>413</v>
      </c>
      <c r="AX35" s="284" t="s">
        <v>247</v>
      </c>
      <c r="AY35" s="9"/>
      <c r="AZ35" s="1"/>
    </row>
    <row r="36" ht="16.5" customHeight="1" outlineLevel="1">
      <c r="A36" s="1"/>
      <c r="B36" s="1"/>
      <c r="C36" s="1"/>
      <c r="D36" s="1"/>
      <c r="E36" s="1"/>
      <c r="F36" s="282" t="s">
        <v>435</v>
      </c>
      <c r="P36" s="145" t="b">
        <v>0</v>
      </c>
      <c r="Q36" s="137">
        <f t="shared" si="2"/>
        <v>0</v>
      </c>
      <c r="R36" s="1"/>
      <c r="S36" s="94" t="s">
        <v>436</v>
      </c>
      <c r="T36" s="6" t="s">
        <v>437</v>
      </c>
      <c r="U36" s="1"/>
      <c r="V36" s="6" t="s">
        <v>438</v>
      </c>
      <c r="Z36" s="1"/>
      <c r="AA36" s="94" t="s">
        <v>436</v>
      </c>
      <c r="AB36" s="6" t="s">
        <v>437</v>
      </c>
      <c r="AC36" s="1"/>
      <c r="AD36" s="6" t="s">
        <v>438</v>
      </c>
      <c r="AH36" s="1"/>
      <c r="AI36" s="1"/>
      <c r="AJ36" s="62" t="s">
        <v>439</v>
      </c>
      <c r="AP36" s="11">
        <v>0.0</v>
      </c>
      <c r="AQ36" s="9"/>
      <c r="AR36" s="1"/>
      <c r="AS36" s="1"/>
      <c r="AT36" s="1"/>
      <c r="AU36" s="1"/>
      <c r="AV36" s="1"/>
      <c r="AW36" s="1"/>
      <c r="AX36" s="1"/>
      <c r="AY36" s="1"/>
      <c r="AZ36" s="1"/>
    </row>
    <row r="37" ht="16.5" customHeight="1" outlineLevel="1">
      <c r="A37" s="1"/>
      <c r="B37" s="1"/>
      <c r="C37" s="1"/>
      <c r="D37" s="1"/>
      <c r="E37" s="1"/>
      <c r="F37" s="282" t="s">
        <v>440</v>
      </c>
      <c r="P37" s="145" t="b">
        <v>0</v>
      </c>
      <c r="Q37" s="137">
        <v>0.0</v>
      </c>
      <c r="R37" s="1"/>
      <c r="S37" s="286" t="b">
        <f t="shared" ref="S37:S38" si="3">TRUE</f>
        <v>1</v>
      </c>
      <c r="T37" s="287">
        <v>0.0</v>
      </c>
      <c r="U37" s="288" t="s">
        <v>441</v>
      </c>
      <c r="V37" s="35"/>
      <c r="W37" s="35"/>
      <c r="X37" s="35"/>
      <c r="Y37" s="35"/>
      <c r="Z37" s="289"/>
      <c r="AA37" s="290" t="b">
        <v>0</v>
      </c>
      <c r="AB37" s="287" t="str">
        <f>IFERROR(VLOOKUP(AC37,T_ScSoftw,2,FALSE),"--")</f>
        <v>--</v>
      </c>
      <c r="AC37" s="291"/>
      <c r="AD37" s="35"/>
      <c r="AE37" s="35"/>
      <c r="AF37" s="35"/>
      <c r="AG37" s="35"/>
      <c r="AH37" s="36"/>
      <c r="AI37" s="1"/>
      <c r="AJ37" s="62" t="s">
        <v>442</v>
      </c>
      <c r="AP37" s="284" t="s">
        <v>247</v>
      </c>
      <c r="AQ37" s="9"/>
      <c r="AR37" s="62" t="s">
        <v>395</v>
      </c>
      <c r="AX37" s="284" t="s">
        <v>247</v>
      </c>
      <c r="AY37" s="9"/>
      <c r="AZ37" s="1"/>
    </row>
    <row r="38" ht="16.5" customHeight="1" outlineLevel="1">
      <c r="A38" s="1"/>
      <c r="B38" s="1"/>
      <c r="C38" s="1"/>
      <c r="D38" s="1"/>
      <c r="E38" s="1"/>
      <c r="F38" s="282" t="s">
        <v>443</v>
      </c>
      <c r="P38" s="145" t="b">
        <v>0</v>
      </c>
      <c r="Q38" s="137">
        <f>IF(P38,2,0)</f>
        <v>0</v>
      </c>
      <c r="R38" s="1"/>
      <c r="S38" s="292" t="b">
        <f t="shared" si="3"/>
        <v>1</v>
      </c>
      <c r="T38" s="293">
        <v>0.0</v>
      </c>
      <c r="U38" s="112" t="s">
        <v>444</v>
      </c>
      <c r="V38" s="43"/>
      <c r="W38" s="43"/>
      <c r="X38" s="43"/>
      <c r="Y38" s="43"/>
      <c r="Z38" s="294"/>
      <c r="AA38" s="295" t="b">
        <v>0</v>
      </c>
      <c r="AB38" s="293" t="str">
        <f>IFERROR(VLOOKUP(AC38,T_ScSoftw,2,FALSE),"--")</f>
        <v>--</v>
      </c>
      <c r="AC38" s="296"/>
      <c r="AD38" s="43"/>
      <c r="AE38" s="43"/>
      <c r="AF38" s="43"/>
      <c r="AG38" s="43"/>
      <c r="AH38" s="44"/>
      <c r="AI38" s="1"/>
      <c r="AJ38" s="62" t="s">
        <v>445</v>
      </c>
      <c r="AP38" s="284" t="s">
        <v>247</v>
      </c>
      <c r="AQ38" s="9"/>
      <c r="AR38" s="62" t="s">
        <v>446</v>
      </c>
      <c r="AX38" s="284" t="s">
        <v>247</v>
      </c>
      <c r="AY38" s="9"/>
      <c r="AZ38" s="1"/>
    </row>
    <row r="39" ht="16.5" customHeight="1" outlineLevel="1">
      <c r="A39" s="1"/>
      <c r="B39" s="1"/>
      <c r="C39" s="1"/>
      <c r="D39" s="1"/>
      <c r="E39" s="1"/>
      <c r="F39" s="282" t="s">
        <v>447</v>
      </c>
      <c r="P39" s="145" t="b">
        <v>0</v>
      </c>
      <c r="Q39" s="137">
        <v>0.0</v>
      </c>
      <c r="R39" s="1"/>
      <c r="S39" s="37" t="b">
        <v>0</v>
      </c>
      <c r="T39" s="293" t="str">
        <f>IFERROR(VLOOKUP(U39,T_ScSoftw,2,FALSE),"--")</f>
        <v>--</v>
      </c>
      <c r="U39" s="296"/>
      <c r="V39" s="43"/>
      <c r="W39" s="43"/>
      <c r="X39" s="43"/>
      <c r="Y39" s="43"/>
      <c r="Z39" s="294"/>
      <c r="AA39" s="295" t="b">
        <v>0</v>
      </c>
      <c r="AB39" s="293" t="str">
        <f>IFERROR(VLOOKUP(AC39,T_ScSoftw,2,FALSE),"--")</f>
        <v>--</v>
      </c>
      <c r="AC39" s="296"/>
      <c r="AD39" s="43"/>
      <c r="AE39" s="43"/>
      <c r="AF39" s="43"/>
      <c r="AG39" s="43"/>
      <c r="AH39" s="44"/>
      <c r="AI39" s="1"/>
      <c r="AJ39" s="62" t="s">
        <v>448</v>
      </c>
      <c r="AP39" s="11">
        <v>0.0</v>
      </c>
      <c r="AQ39" s="9"/>
      <c r="AR39" s="62" t="s">
        <v>449</v>
      </c>
      <c r="AX39" s="284" t="s">
        <v>247</v>
      </c>
      <c r="AY39" s="9"/>
      <c r="AZ39" s="1"/>
    </row>
    <row r="40" ht="16.5" customHeight="1" outlineLevel="1">
      <c r="A40" s="1"/>
      <c r="B40" s="1"/>
      <c r="C40" s="1"/>
      <c r="D40" s="1"/>
      <c r="E40" s="1"/>
      <c r="F40" s="1"/>
      <c r="G40" s="1"/>
      <c r="H40" s="282" t="s">
        <v>450</v>
      </c>
      <c r="P40" s="145" t="b">
        <v>0</v>
      </c>
      <c r="Q40" s="137">
        <f>IF(P40,1,0)</f>
        <v>0</v>
      </c>
      <c r="R40" s="1"/>
      <c r="S40" s="37" t="b">
        <v>0</v>
      </c>
      <c r="T40" s="293" t="str">
        <f>IFERROR(VLOOKUP(U40,T_ScSoftw,2,FALSE),"--")</f>
        <v>--</v>
      </c>
      <c r="U40" s="296"/>
      <c r="V40" s="43"/>
      <c r="W40" s="43"/>
      <c r="X40" s="43"/>
      <c r="Y40" s="43"/>
      <c r="Z40" s="294"/>
      <c r="AA40" s="295" t="b">
        <v>0</v>
      </c>
      <c r="AB40" s="293" t="str">
        <f>IFERROR(VLOOKUP(AC40,T_ScSoftw,2,FALSE),"--")</f>
        <v>--</v>
      </c>
      <c r="AC40" s="296"/>
      <c r="AD40" s="43"/>
      <c r="AE40" s="43"/>
      <c r="AF40" s="43"/>
      <c r="AG40" s="43"/>
      <c r="AH40" s="44"/>
      <c r="AI40" s="61"/>
      <c r="AJ40" s="62" t="s">
        <v>402</v>
      </c>
      <c r="AP40" s="284" t="s">
        <v>247</v>
      </c>
      <c r="AQ40" s="9"/>
      <c r="AR40" s="62" t="s">
        <v>389</v>
      </c>
      <c r="AX40" s="284" t="s">
        <v>247</v>
      </c>
      <c r="AY40" s="9"/>
      <c r="AZ40" s="1"/>
    </row>
    <row r="41" ht="16.5" customHeight="1" outlineLevel="1">
      <c r="A41" s="1"/>
      <c r="B41" s="1"/>
      <c r="C41" s="1"/>
      <c r="D41" s="1"/>
      <c r="E41" s="1"/>
      <c r="F41" s="1"/>
      <c r="G41" s="1"/>
      <c r="H41" s="297" t="s">
        <v>451</v>
      </c>
      <c r="I41" s="54"/>
      <c r="J41" s="54"/>
      <c r="K41" s="54"/>
      <c r="L41" s="54"/>
      <c r="M41" s="54"/>
      <c r="N41" s="54"/>
      <c r="O41" s="54"/>
      <c r="P41" s="298" t="b">
        <v>0</v>
      </c>
      <c r="Q41" s="137">
        <f>IF(P41,2,1)</f>
        <v>1</v>
      </c>
      <c r="R41" s="1"/>
      <c r="S41" s="37" t="b">
        <v>0</v>
      </c>
      <c r="T41" s="293" t="str">
        <f>IFERROR(VLOOKUP(U41,T_ScSoftw,2,FALSE),"--")</f>
        <v>--</v>
      </c>
      <c r="U41" s="296"/>
      <c r="V41" s="43"/>
      <c r="W41" s="43"/>
      <c r="X41" s="43"/>
      <c r="Y41" s="43"/>
      <c r="Z41" s="294"/>
      <c r="AA41" s="299" t="b">
        <v>0</v>
      </c>
      <c r="AB41" s="300" t="str">
        <f>IFERROR(VLOOKUP(AC41,T_ScSoftw,2,FALSE),"--")</f>
        <v>--</v>
      </c>
      <c r="AC41" s="301"/>
      <c r="AD41" s="69"/>
      <c r="AE41" s="69"/>
      <c r="AF41" s="69"/>
      <c r="AG41" s="69"/>
      <c r="AH41" s="178"/>
      <c r="AI41" s="61"/>
      <c r="AJ41" s="62" t="s">
        <v>452</v>
      </c>
      <c r="AP41" s="284" t="s">
        <v>247</v>
      </c>
      <c r="AQ41" s="9"/>
      <c r="AR41" s="62" t="s">
        <v>392</v>
      </c>
      <c r="AX41" s="284" t="s">
        <v>247</v>
      </c>
      <c r="AY41" s="9"/>
      <c r="AZ41" s="1"/>
    </row>
    <row r="42" ht="16.5" customHeight="1" outlineLevel="1">
      <c r="A42" s="1"/>
      <c r="B42" s="1"/>
      <c r="C42" s="1"/>
      <c r="D42" s="1"/>
      <c r="E42" s="1"/>
      <c r="F42" s="62" t="s">
        <v>453</v>
      </c>
      <c r="P42" s="145" t="b">
        <v>0</v>
      </c>
      <c r="Q42" s="137">
        <f t="shared" ref="Q42:Q43" si="4">IF(P42,3,1)</f>
        <v>1</v>
      </c>
      <c r="R42" s="1"/>
      <c r="S42" s="37" t="b">
        <v>0</v>
      </c>
      <c r="T42" s="293" t="str">
        <f>IFERROR(VLOOKUP(U42,T_ScSoftw,2,FALSE),"--")</f>
        <v>--</v>
      </c>
      <c r="U42" s="296"/>
      <c r="V42" s="43"/>
      <c r="W42" s="43"/>
      <c r="X42" s="43"/>
      <c r="Y42" s="43"/>
      <c r="Z42" s="294"/>
      <c r="AA42" s="290" t="b">
        <v>0</v>
      </c>
      <c r="AB42" s="33">
        <v>0.0</v>
      </c>
      <c r="AC42" s="291"/>
      <c r="AD42" s="35"/>
      <c r="AE42" s="35"/>
      <c r="AF42" s="35"/>
      <c r="AG42" s="35"/>
      <c r="AH42" s="36"/>
      <c r="AI42" s="1"/>
      <c r="AJ42" s="62" t="s">
        <v>454</v>
      </c>
      <c r="AP42" s="284" t="s">
        <v>247</v>
      </c>
      <c r="AQ42" s="9"/>
      <c r="AR42" s="62" t="s">
        <v>390</v>
      </c>
      <c r="AX42" s="284" t="s">
        <v>247</v>
      </c>
      <c r="AY42" s="9"/>
      <c r="AZ42" s="1"/>
    </row>
    <row r="43" ht="16.5" customHeight="1" outlineLevel="1">
      <c r="A43" s="1"/>
      <c r="B43" s="1"/>
      <c r="C43" s="1"/>
      <c r="D43" s="1"/>
      <c r="E43" s="1"/>
      <c r="F43" s="282" t="s">
        <v>455</v>
      </c>
      <c r="P43" s="145" t="b">
        <v>0</v>
      </c>
      <c r="Q43" s="137">
        <f t="shared" si="4"/>
        <v>1</v>
      </c>
      <c r="R43" s="1"/>
      <c r="S43" s="37" t="b">
        <v>0</v>
      </c>
      <c r="T43" s="293" t="str">
        <f>IFERROR(VLOOKUP(U43,T_ScSoftw,2,FALSE),"--")</f>
        <v>--</v>
      </c>
      <c r="U43" s="296"/>
      <c r="V43" s="43"/>
      <c r="W43" s="43"/>
      <c r="X43" s="43"/>
      <c r="Y43" s="43"/>
      <c r="Z43" s="294"/>
      <c r="AA43" s="302" t="b">
        <v>0</v>
      </c>
      <c r="AB43" s="47">
        <v>0.0</v>
      </c>
      <c r="AC43" s="303"/>
      <c r="AD43" s="50"/>
      <c r="AE43" s="50"/>
      <c r="AF43" s="50"/>
      <c r="AG43" s="50"/>
      <c r="AH43" s="51"/>
      <c r="AI43" s="1"/>
      <c r="AJ43" s="62" t="s">
        <v>385</v>
      </c>
      <c r="AP43" s="284" t="s">
        <v>247</v>
      </c>
      <c r="AQ43" s="9"/>
      <c r="AR43" s="1"/>
      <c r="AS43" s="1"/>
      <c r="AT43" s="1"/>
      <c r="AU43" s="1"/>
      <c r="AV43" s="1"/>
      <c r="AW43" s="1"/>
      <c r="AX43" s="1"/>
      <c r="AY43" s="1"/>
      <c r="AZ43" s="1"/>
    </row>
    <row r="44" ht="16.5" customHeight="1" outlineLevel="1">
      <c r="A44" s="1"/>
      <c r="B44" s="80" t="s">
        <v>456</v>
      </c>
      <c r="R44" s="1"/>
      <c r="S44" s="37" t="b">
        <v>0</v>
      </c>
      <c r="T44" s="293" t="str">
        <f>IFERROR(VLOOKUP(U44,T_ScSoftw,2,FALSE),"--")</f>
        <v>--</v>
      </c>
      <c r="U44" s="296"/>
      <c r="V44" s="43"/>
      <c r="W44" s="43"/>
      <c r="X44" s="43"/>
      <c r="Y44" s="43"/>
      <c r="Z44" s="294"/>
      <c r="AA44" s="6" t="s">
        <v>457</v>
      </c>
      <c r="AI44" s="1"/>
      <c r="AJ44" s="62" t="s">
        <v>458</v>
      </c>
      <c r="AP44" s="11">
        <v>0.0</v>
      </c>
      <c r="AQ44" s="9"/>
      <c r="AR44" s="62" t="s">
        <v>459</v>
      </c>
      <c r="AX44" s="284" t="s">
        <v>247</v>
      </c>
      <c r="AY44" s="9"/>
      <c r="AZ44" s="1"/>
    </row>
    <row r="45" ht="16.5" customHeight="1" outlineLevel="1">
      <c r="A45" s="1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1"/>
      <c r="S45" s="37" t="b">
        <v>0</v>
      </c>
      <c r="T45" s="293" t="str">
        <f>IFERROR(VLOOKUP(U45,T_ScSoftw,2,FALSE),"--")</f>
        <v>--</v>
      </c>
      <c r="U45" s="296"/>
      <c r="V45" s="43"/>
      <c r="W45" s="43"/>
      <c r="X45" s="43"/>
      <c r="Y45" s="43"/>
      <c r="Z45" s="294"/>
      <c r="AA45" s="290" t="b">
        <v>0</v>
      </c>
      <c r="AB45" s="287" t="str">
        <f>IFERROR(VLOOKUP(AC45,T_Softw,2,FALSE),"--")</f>
        <v>--</v>
      </c>
      <c r="AC45" s="291"/>
      <c r="AD45" s="35"/>
      <c r="AE45" s="35"/>
      <c r="AF45" s="35"/>
      <c r="AG45" s="35"/>
      <c r="AH45" s="36"/>
      <c r="AI45" s="1"/>
      <c r="AJ45" s="62" t="s">
        <v>460</v>
      </c>
      <c r="AP45" s="284" t="s">
        <v>247</v>
      </c>
      <c r="AQ45" s="9"/>
      <c r="AR45" s="62" t="s">
        <v>461</v>
      </c>
      <c r="AX45" s="284" t="s">
        <v>247</v>
      </c>
      <c r="AY45" s="9"/>
      <c r="AZ45" s="1"/>
    </row>
    <row r="46" ht="16.5" customHeight="1" outlineLevel="1">
      <c r="A46" s="1"/>
      <c r="B46" s="62" t="s">
        <v>462</v>
      </c>
      <c r="F46" s="8" t="s">
        <v>351</v>
      </c>
      <c r="G46" s="15"/>
      <c r="H46" s="15"/>
      <c r="I46" s="15"/>
      <c r="J46" s="9"/>
      <c r="K46" s="62" t="s">
        <v>463</v>
      </c>
      <c r="O46" s="277">
        <v>0.0</v>
      </c>
      <c r="P46" s="15"/>
      <c r="Q46" s="9"/>
      <c r="R46" s="1"/>
      <c r="S46" s="37" t="b">
        <v>0</v>
      </c>
      <c r="T46" s="293" t="str">
        <f>IFERROR(VLOOKUP(U46,T_ScSoftw,2,FALSE),"--")</f>
        <v>--</v>
      </c>
      <c r="U46" s="296"/>
      <c r="V46" s="43"/>
      <c r="W46" s="43"/>
      <c r="X46" s="43"/>
      <c r="Y46" s="43"/>
      <c r="Z46" s="294"/>
      <c r="AA46" s="295" t="b">
        <v>0</v>
      </c>
      <c r="AB46" s="293" t="str">
        <f>IFERROR(VLOOKUP(AC46,T_Softw,2,FALSE),"--")</f>
        <v>--</v>
      </c>
      <c r="AC46" s="296"/>
      <c r="AD46" s="43"/>
      <c r="AE46" s="43"/>
      <c r="AF46" s="43"/>
      <c r="AG46" s="43"/>
      <c r="AH46" s="44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ht="16.5" customHeight="1" outlineLevel="1">
      <c r="A47" s="1"/>
      <c r="B47" s="62" t="s">
        <v>464</v>
      </c>
      <c r="J47" s="145" t="b">
        <v>0</v>
      </c>
      <c r="K47" s="62" t="s">
        <v>465</v>
      </c>
      <c r="Q47" s="145" t="b">
        <v>0</v>
      </c>
      <c r="R47" s="1"/>
      <c r="S47" s="37" t="b">
        <v>0</v>
      </c>
      <c r="T47" s="293" t="str">
        <f>IFERROR(VLOOKUP(U47,T_ScSoftw,2,FALSE),"--")</f>
        <v>--</v>
      </c>
      <c r="U47" s="296"/>
      <c r="V47" s="43"/>
      <c r="W47" s="43"/>
      <c r="X47" s="43"/>
      <c r="Y47" s="43"/>
      <c r="Z47" s="294"/>
      <c r="AA47" s="295" t="b">
        <v>0</v>
      </c>
      <c r="AB47" s="293" t="str">
        <f>IFERROR(VLOOKUP(AC47,T_Softw,2,FALSE),"--")</f>
        <v>--</v>
      </c>
      <c r="AC47" s="296"/>
      <c r="AD47" s="43"/>
      <c r="AE47" s="43"/>
      <c r="AF47" s="43"/>
      <c r="AG47" s="43"/>
      <c r="AH47" s="44"/>
      <c r="AI47" s="1"/>
      <c r="AJ47" s="62" t="s">
        <v>466</v>
      </c>
      <c r="AX47" s="11">
        <v>0.0</v>
      </c>
      <c r="AY47" s="9"/>
      <c r="AZ47" s="1"/>
    </row>
    <row r="48" ht="16.5" customHeight="1" outlineLevel="1">
      <c r="A48" s="1"/>
      <c r="B48" s="62" t="s">
        <v>467</v>
      </c>
      <c r="J48" s="145" t="b">
        <v>0</v>
      </c>
      <c r="K48" s="62" t="s">
        <v>468</v>
      </c>
      <c r="Q48" s="145" t="b">
        <v>0</v>
      </c>
      <c r="R48" s="1"/>
      <c r="S48" s="45" t="b">
        <v>0</v>
      </c>
      <c r="T48" s="304" t="str">
        <f>IFERROR(VLOOKUP(U48,T_ScSoftw,2,FALSE),"--")</f>
        <v>--</v>
      </c>
      <c r="U48" s="303"/>
      <c r="V48" s="50"/>
      <c r="W48" s="50"/>
      <c r="X48" s="50"/>
      <c r="Y48" s="50"/>
      <c r="Z48" s="305"/>
      <c r="AA48" s="302" t="b">
        <v>0</v>
      </c>
      <c r="AB48" s="304" t="str">
        <f>IFERROR(VLOOKUP(AC48,T_Softw,2,FALSE),"--")</f>
        <v>--</v>
      </c>
      <c r="AC48" s="303"/>
      <c r="AD48" s="50"/>
      <c r="AE48" s="50"/>
      <c r="AF48" s="50"/>
      <c r="AG48" s="50"/>
      <c r="AH48" s="51"/>
      <c r="AI48" s="1"/>
      <c r="AJ48" s="62" t="s">
        <v>469</v>
      </c>
      <c r="AX48" s="11">
        <v>0.0</v>
      </c>
      <c r="AY48" s="9"/>
      <c r="AZ48" s="1"/>
    </row>
    <row r="49" ht="16.5" customHeight="1" outlineLevel="1">
      <c r="A49" s="1"/>
      <c r="B49" s="80" t="s">
        <v>306</v>
      </c>
      <c r="R49" s="1"/>
      <c r="S49" s="80" t="s">
        <v>470</v>
      </c>
      <c r="AI49" s="1"/>
      <c r="AJ49" s="62" t="s">
        <v>471</v>
      </c>
      <c r="AX49" s="11">
        <v>0.0</v>
      </c>
      <c r="AY49" s="9"/>
      <c r="AZ49" s="1"/>
    </row>
    <row r="50" ht="16.5" customHeight="1" outlineLevel="1">
      <c r="A50" s="1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1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1"/>
      <c r="AJ50" s="62" t="s">
        <v>472</v>
      </c>
      <c r="AX50" s="11">
        <v>0.0</v>
      </c>
      <c r="AY50" s="9"/>
      <c r="AZ50" s="1"/>
    </row>
    <row r="51" ht="16.5" customHeight="1" outlineLevel="1">
      <c r="A51" s="1"/>
      <c r="B51" s="62" t="s">
        <v>308</v>
      </c>
      <c r="G51" s="11">
        <v>0.0</v>
      </c>
      <c r="H51" s="9"/>
      <c r="I51" s="1"/>
      <c r="J51" s="62" t="s">
        <v>315</v>
      </c>
      <c r="O51" s="11">
        <v>0.0</v>
      </c>
      <c r="P51" s="9"/>
      <c r="Q51" s="1"/>
      <c r="R51" s="1"/>
      <c r="S51" s="62" t="s">
        <v>473</v>
      </c>
      <c r="Z51" s="13">
        <v>0.0</v>
      </c>
      <c r="AA51" s="62" t="s">
        <v>474</v>
      </c>
      <c r="AH51" s="145" t="b">
        <v>0</v>
      </c>
      <c r="AI51" s="1"/>
      <c r="AJ51" s="80" t="s">
        <v>475</v>
      </c>
      <c r="AZ51" s="1"/>
    </row>
    <row r="52" ht="16.5" customHeight="1" outlineLevel="1">
      <c r="A52" s="1"/>
      <c r="B52" s="62" t="s">
        <v>309</v>
      </c>
      <c r="G52" s="11">
        <v>1.0</v>
      </c>
      <c r="H52" s="9"/>
      <c r="I52" s="1"/>
      <c r="J52" s="62" t="s">
        <v>317</v>
      </c>
      <c r="O52" s="11">
        <v>0.0</v>
      </c>
      <c r="P52" s="9"/>
      <c r="Q52" s="1"/>
      <c r="R52" s="1"/>
      <c r="S52" s="62" t="s">
        <v>476</v>
      </c>
      <c r="Z52" s="13">
        <v>0.0</v>
      </c>
      <c r="AA52" s="62" t="s">
        <v>477</v>
      </c>
      <c r="AH52" s="145" t="b">
        <v>0</v>
      </c>
      <c r="AI52" s="1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1"/>
    </row>
    <row r="53" ht="16.5" customHeight="1" outlineLevel="1">
      <c r="A53" s="1"/>
      <c r="B53" s="62" t="s">
        <v>311</v>
      </c>
      <c r="G53" s="11">
        <v>0.0</v>
      </c>
      <c r="H53" s="9"/>
      <c r="I53" s="1"/>
      <c r="J53" s="62" t="s">
        <v>318</v>
      </c>
      <c r="O53" s="11">
        <v>0.0</v>
      </c>
      <c r="P53" s="9"/>
      <c r="Q53" s="1"/>
      <c r="R53" s="1"/>
      <c r="S53" s="62" t="s">
        <v>478</v>
      </c>
      <c r="Z53" s="13">
        <v>0.0</v>
      </c>
      <c r="AA53" s="62" t="s">
        <v>479</v>
      </c>
      <c r="AH53" s="145" t="b">
        <v>0</v>
      </c>
      <c r="AI53" s="1"/>
      <c r="AJ53" s="62" t="s">
        <v>480</v>
      </c>
      <c r="AP53" s="11">
        <v>0.0</v>
      </c>
      <c r="AQ53" s="9"/>
      <c r="AR53" s="62" t="s">
        <v>481</v>
      </c>
      <c r="AX53" s="11">
        <v>0.0</v>
      </c>
      <c r="AY53" s="9"/>
      <c r="AZ53" s="1"/>
    </row>
    <row r="54" ht="16.5" customHeight="1" outlineLevel="1">
      <c r="A54" s="1"/>
      <c r="B54" s="62" t="s">
        <v>312</v>
      </c>
      <c r="G54" s="11">
        <v>0.0</v>
      </c>
      <c r="H54" s="9"/>
      <c r="I54" s="1"/>
      <c r="J54" s="62" t="s">
        <v>320</v>
      </c>
      <c r="O54" s="11">
        <v>0.0</v>
      </c>
      <c r="P54" s="9"/>
      <c r="Q54" s="1"/>
      <c r="R54" s="1"/>
      <c r="S54" s="62" t="s">
        <v>482</v>
      </c>
      <c r="Z54" s="13">
        <v>0.0</v>
      </c>
      <c r="AA54" s="62" t="s">
        <v>483</v>
      </c>
      <c r="AH54" s="13">
        <v>0.0</v>
      </c>
      <c r="AI54" s="1"/>
      <c r="AJ54" s="62" t="s">
        <v>484</v>
      </c>
      <c r="AP54" s="11">
        <v>0.0</v>
      </c>
      <c r="AQ54" s="9"/>
      <c r="AR54" s="62" t="s">
        <v>485</v>
      </c>
      <c r="AX54" s="11">
        <v>0.0</v>
      </c>
      <c r="AY54" s="9"/>
      <c r="AZ54" s="1"/>
    </row>
    <row r="55" ht="16.5" customHeight="1" outlineLevel="1">
      <c r="A55" s="1"/>
      <c r="B55" s="62" t="s">
        <v>314</v>
      </c>
      <c r="G55" s="11">
        <v>0.0</v>
      </c>
      <c r="H55" s="9"/>
      <c r="I55" s="1"/>
      <c r="J55" s="62" t="s">
        <v>321</v>
      </c>
      <c r="O55" s="11">
        <v>0.0</v>
      </c>
      <c r="P55" s="9"/>
      <c r="Q55" s="1"/>
      <c r="R55" s="1"/>
      <c r="S55" s="62" t="s">
        <v>486</v>
      </c>
      <c r="Z55" s="13">
        <v>0.0</v>
      </c>
      <c r="AA55" s="62" t="s">
        <v>487</v>
      </c>
      <c r="AH55" s="13">
        <v>0.0</v>
      </c>
      <c r="AI55" s="1"/>
      <c r="AJ55" s="62" t="s">
        <v>488</v>
      </c>
      <c r="AP55" s="11">
        <v>0.0</v>
      </c>
      <c r="AQ55" s="9"/>
      <c r="AR55" s="62" t="s">
        <v>489</v>
      </c>
      <c r="AX55" s="11">
        <v>0.0</v>
      </c>
      <c r="AY55" s="9"/>
      <c r="AZ55" s="1"/>
    </row>
    <row r="56" ht="16.5" customHeight="1" outlineLevel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62" t="s">
        <v>490</v>
      </c>
      <c r="Z56" s="11" t="s">
        <v>62</v>
      </c>
      <c r="AA56" s="9"/>
      <c r="AB56" s="62" t="s">
        <v>491</v>
      </c>
      <c r="AH56" s="145" t="b">
        <v>0</v>
      </c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6" t="s">
        <v>66</v>
      </c>
      <c r="AX56" s="6" t="s">
        <v>67</v>
      </c>
      <c r="AZ56" s="1"/>
    </row>
    <row r="57" ht="16.5" customHeight="1" outlineLevel="1">
      <c r="A57" s="1"/>
      <c r="B57" s="1"/>
      <c r="C57" s="1"/>
      <c r="D57" s="1"/>
      <c r="E57" s="62" t="s">
        <v>492</v>
      </c>
      <c r="O57" s="11">
        <v>0.0</v>
      </c>
      <c r="P57" s="9"/>
      <c r="Q57" s="1"/>
      <c r="R57" s="1"/>
      <c r="S57" s="62" t="s">
        <v>410</v>
      </c>
      <c r="Z57" s="11" t="s">
        <v>62</v>
      </c>
      <c r="AA57" s="9"/>
      <c r="AB57" s="1"/>
      <c r="AC57" s="1"/>
      <c r="AD57" s="1"/>
      <c r="AE57" s="1"/>
      <c r="AF57" s="1"/>
      <c r="AG57" s="1"/>
      <c r="AH57" s="1"/>
      <c r="AI57" s="1"/>
      <c r="AJ57" s="62" t="s">
        <v>493</v>
      </c>
      <c r="AP57" s="145" t="b">
        <v>0</v>
      </c>
      <c r="AQ57" s="1"/>
      <c r="AR57" s="62" t="s">
        <v>494</v>
      </c>
      <c r="AV57" s="11">
        <v>0.0</v>
      </c>
      <c r="AW57" s="266"/>
      <c r="AX57" s="306">
        <f>AX53*10+AX54*20+AX55*50</f>
        <v>0</v>
      </c>
      <c r="AY57" s="9"/>
      <c r="AZ57" s="1"/>
    </row>
    <row r="58" ht="16.5" customHeight="1" outlineLevel="1">
      <c r="A58" s="1"/>
      <c r="B58" s="1"/>
      <c r="C58" s="1"/>
      <c r="D58" s="1"/>
      <c r="E58" s="62" t="s">
        <v>495</v>
      </c>
      <c r="O58" s="11">
        <v>0.0</v>
      </c>
      <c r="P58" s="9"/>
      <c r="Q58" s="1"/>
      <c r="R58" s="1"/>
      <c r="S58" s="62" t="s">
        <v>496</v>
      </c>
      <c r="Z58" s="11" t="s">
        <v>62</v>
      </c>
      <c r="AA58" s="9"/>
      <c r="AB58" s="1"/>
      <c r="AC58" s="1"/>
      <c r="AD58" s="1"/>
      <c r="AE58" s="1"/>
      <c r="AF58" s="1"/>
      <c r="AG58" s="1"/>
      <c r="AH58" s="1"/>
      <c r="AI58" s="1"/>
      <c r="AJ58" s="62" t="s">
        <v>497</v>
      </c>
      <c r="AP58" s="145" t="b">
        <v>0</v>
      </c>
      <c r="AQ58" s="1"/>
      <c r="AR58" s="62" t="s">
        <v>498</v>
      </c>
      <c r="AX58" s="248">
        <f>FLOOR(AX57/10)</f>
        <v>0</v>
      </c>
      <c r="AY58" s="9"/>
      <c r="AZ58" s="1"/>
    </row>
    <row r="59" ht="16.5" customHeight="1" outlineLevel="1">
      <c r="A59" s="1"/>
      <c r="B59" s="1"/>
      <c r="C59" s="307" t="s">
        <v>36</v>
      </c>
      <c r="E59" s="308"/>
      <c r="F59" s="15"/>
      <c r="G59" s="15"/>
      <c r="H59" s="15"/>
      <c r="I59" s="15"/>
      <c r="J59" s="15"/>
      <c r="K59" s="15"/>
      <c r="L59" s="15"/>
      <c r="M59" s="15"/>
      <c r="N59" s="266"/>
      <c r="O59" s="267">
        <v>0.0</v>
      </c>
      <c r="P59" s="9"/>
      <c r="Q59" s="1"/>
      <c r="R59" s="1"/>
      <c r="S59" s="80" t="s">
        <v>200</v>
      </c>
      <c r="AZ59" s="1"/>
    </row>
    <row r="60" ht="16.5" customHeight="1" outlineLevel="1">
      <c r="A60" s="1"/>
      <c r="B60" s="1"/>
      <c r="C60" s="307" t="s">
        <v>36</v>
      </c>
      <c r="E60" s="309"/>
      <c r="F60" s="15"/>
      <c r="G60" s="15"/>
      <c r="H60" s="15"/>
      <c r="I60" s="15"/>
      <c r="J60" s="15"/>
      <c r="K60" s="15"/>
      <c r="L60" s="15"/>
      <c r="M60" s="15"/>
      <c r="N60" s="266"/>
      <c r="O60" s="267">
        <v>0.0</v>
      </c>
      <c r="P60" s="9"/>
      <c r="Q60" s="1"/>
      <c r="R60" s="1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1"/>
    </row>
    <row r="61" ht="16.5" customHeight="1" outlineLevel="1">
      <c r="A61" s="1"/>
      <c r="B61" s="80" t="s">
        <v>499</v>
      </c>
      <c r="R61" s="1"/>
      <c r="S61" s="1"/>
      <c r="T61" s="1"/>
      <c r="U61" s="1"/>
      <c r="V61" s="6" t="s">
        <v>500</v>
      </c>
      <c r="X61" s="6" t="s">
        <v>325</v>
      </c>
      <c r="Z61" s="1"/>
      <c r="AA61" s="1"/>
      <c r="AB61" s="1"/>
      <c r="AC61" s="1"/>
      <c r="AD61" s="1"/>
      <c r="AE61" s="1"/>
      <c r="AF61" s="310" t="s">
        <v>375</v>
      </c>
      <c r="AG61" s="4"/>
      <c r="AH61" s="6" t="s">
        <v>501</v>
      </c>
      <c r="AI61" s="6" t="s">
        <v>502</v>
      </c>
      <c r="AJ61" s="6" t="s">
        <v>503</v>
      </c>
      <c r="AK61" s="1"/>
      <c r="AL61" s="1"/>
      <c r="AM61" s="1"/>
      <c r="AN61" s="310" t="s">
        <v>504</v>
      </c>
      <c r="AO61" s="4"/>
      <c r="AP61" s="4"/>
      <c r="AQ61" s="6">
        <v>1.0</v>
      </c>
      <c r="AR61" s="6">
        <v>2.0</v>
      </c>
      <c r="AS61" s="6">
        <v>3.0</v>
      </c>
      <c r="AT61" s="6">
        <v>4.0</v>
      </c>
      <c r="AU61" s="6">
        <v>5.0</v>
      </c>
      <c r="AV61" s="6">
        <v>6.0</v>
      </c>
      <c r="AW61" s="6">
        <v>7.0</v>
      </c>
      <c r="AX61" s="104">
        <v>8.0</v>
      </c>
      <c r="AY61" s="6" t="s">
        <v>34</v>
      </c>
      <c r="AZ61" s="1"/>
    </row>
    <row r="62" ht="16.5" customHeight="1" outlineLevel="1">
      <c r="A62" s="1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1"/>
      <c r="S62" s="1"/>
      <c r="T62" s="1"/>
      <c r="U62" s="62" t="str">
        <f>IF(W5&lt;100,"Firmpoints","Hardpoints")</f>
        <v>Firmpoints</v>
      </c>
      <c r="V62" s="71">
        <f>SUM(R132:R139,AH62:AJ62)</f>
        <v>0</v>
      </c>
      <c r="W62" s="266"/>
      <c r="X62" s="110">
        <f>FLOOR(IF(W5&lt;100,IFS(W5&lt;35,1,W5&lt;70,2,TRUE,3),W5/100))</f>
        <v>1</v>
      </c>
      <c r="Y62" s="9"/>
      <c r="Z62" s="62" t="s">
        <v>505</v>
      </c>
      <c r="AH62" s="13">
        <v>0.0</v>
      </c>
      <c r="AI62" s="13">
        <v>0.0</v>
      </c>
      <c r="AJ62" s="13">
        <v>0.0</v>
      </c>
      <c r="AK62" s="62" t="s">
        <v>506</v>
      </c>
      <c r="AQ62" s="311">
        <f>SUM(Y132:AC132)*T65</f>
        <v>0</v>
      </c>
      <c r="AR62" s="312">
        <f>SUM(Y133:AC133)*T69</f>
        <v>0</v>
      </c>
      <c r="AS62" s="312">
        <f>SUM(Y134:AC134)*T73</f>
        <v>0</v>
      </c>
      <c r="AT62" s="312">
        <f>SUM(Y135:AC135)*T77</f>
        <v>0</v>
      </c>
      <c r="AU62" s="312">
        <f>SUM(Y136:AC136)*T81</f>
        <v>0</v>
      </c>
      <c r="AV62" s="312">
        <f>SUM(Y137:AC137)*T85</f>
        <v>0</v>
      </c>
      <c r="AW62" s="312">
        <f>SUM(Y138:AC138)*T89</f>
        <v>0</v>
      </c>
      <c r="AX62" s="313">
        <f>SUM(Y139:AC139)*T93</f>
        <v>0</v>
      </c>
      <c r="AY62" s="314">
        <f>SUM(AQ62:AX62)</f>
        <v>0</v>
      </c>
      <c r="AZ62" s="1"/>
    </row>
    <row r="63" ht="16.5" customHeight="1" outlineLevel="1">
      <c r="A63" s="1"/>
      <c r="B63" s="1"/>
      <c r="C63" s="1"/>
      <c r="D63" s="1"/>
      <c r="E63" s="1"/>
      <c r="F63" s="1"/>
      <c r="G63" s="315" t="s">
        <v>507</v>
      </c>
      <c r="H63" s="4"/>
      <c r="I63" s="4"/>
      <c r="J63" s="4"/>
      <c r="K63" s="11">
        <v>0.0</v>
      </c>
      <c r="L63" s="9"/>
      <c r="M63" s="6" t="s">
        <v>508</v>
      </c>
      <c r="R63" s="1"/>
      <c r="S63" s="6" t="s">
        <v>509</v>
      </c>
      <c r="X63" s="6" t="str">
        <f>IFS(OR(S64="",S64="--"),"--",RIGHT(S64,2)="et",IF(LEFT(S64)&lt;&gt;"S","First ","")&amp;"Turret Type",LEFT(S64,2)="So","--",TRUE,S64&amp;" Weapon")</f>
        <v>--</v>
      </c>
      <c r="AE63" s="6" t="str">
        <f>IF(AND(RIGHT(S64,2)="et",LEFT(S64)&lt;&gt;"S"),"Second Turret Type","--")</f>
        <v>--</v>
      </c>
      <c r="AL63" s="6" t="str">
        <f>IF(AND(RIGHT(S64,2)="et",OR(LEFT(S64)="T",LEFT(S64)="Q")),"Third Turret Type","--")</f>
        <v>--</v>
      </c>
      <c r="AS63" s="6" t="str">
        <f>IF(AND(RIGHT(S64,2)="et",LEFT(S64)="Q"),"Fourth Turret Type","--")</f>
        <v>--</v>
      </c>
      <c r="AZ63" s="1"/>
    </row>
    <row r="64" ht="16.5" customHeight="1" outlineLevel="1">
      <c r="A64" s="1"/>
      <c r="B64" s="62" t="s">
        <v>510</v>
      </c>
      <c r="I64" s="316" t="s">
        <v>511</v>
      </c>
      <c r="J64" s="216"/>
      <c r="K64" s="11">
        <v>0.0</v>
      </c>
      <c r="L64" s="9"/>
      <c r="M64" s="245"/>
      <c r="N64" s="22"/>
      <c r="O64" s="22"/>
      <c r="P64" s="22"/>
      <c r="Q64" s="25"/>
      <c r="R64" s="1"/>
      <c r="S64" s="8"/>
      <c r="T64" s="15"/>
      <c r="U64" s="15"/>
      <c r="V64" s="15"/>
      <c r="W64" s="16"/>
      <c r="X64" s="269"/>
      <c r="Y64" s="15"/>
      <c r="Z64" s="15"/>
      <c r="AA64" s="15"/>
      <c r="AB64" s="15"/>
      <c r="AC64" s="15"/>
      <c r="AD64" s="16"/>
      <c r="AE64" s="17"/>
      <c r="AF64" s="15"/>
      <c r="AG64" s="15"/>
      <c r="AH64" s="15"/>
      <c r="AI64" s="15"/>
      <c r="AJ64" s="15"/>
      <c r="AK64" s="16"/>
      <c r="AL64" s="17"/>
      <c r="AM64" s="15"/>
      <c r="AN64" s="15"/>
      <c r="AO64" s="15"/>
      <c r="AP64" s="15"/>
      <c r="AQ64" s="15"/>
      <c r="AR64" s="16"/>
      <c r="AS64" s="269"/>
      <c r="AT64" s="15"/>
      <c r="AU64" s="15"/>
      <c r="AV64" s="15"/>
      <c r="AW64" s="15"/>
      <c r="AX64" s="15"/>
      <c r="AY64" s="9"/>
      <c r="AZ64" s="1"/>
    </row>
    <row r="65" ht="16.5" customHeight="1" outlineLevel="1">
      <c r="A65" s="1"/>
      <c r="I65" s="316" t="s">
        <v>512</v>
      </c>
      <c r="J65" s="216"/>
      <c r="K65" s="11">
        <v>0.0</v>
      </c>
      <c r="L65" s="9"/>
      <c r="M65" s="220"/>
      <c r="N65" s="216"/>
      <c r="O65" s="216"/>
      <c r="P65" s="216"/>
      <c r="Q65" s="199"/>
      <c r="R65" s="1"/>
      <c r="S65" s="62" t="s">
        <v>244</v>
      </c>
      <c r="T65" s="11">
        <v>0.0</v>
      </c>
      <c r="U65" s="9"/>
      <c r="V65" s="277">
        <v>0.0</v>
      </c>
      <c r="W65" s="15"/>
      <c r="X65" s="15"/>
      <c r="Y65" s="9"/>
      <c r="Z65" s="13"/>
      <c r="AA65" s="317"/>
      <c r="AB65" s="263"/>
      <c r="AC65" s="263"/>
      <c r="AD65" s="74"/>
      <c r="AE65" s="318"/>
      <c r="AF65" s="263"/>
      <c r="AG65" s="74"/>
      <c r="AH65" s="318"/>
      <c r="AI65" s="263"/>
      <c r="AJ65" s="319"/>
      <c r="AK65" s="320"/>
      <c r="AL65" s="318"/>
      <c r="AM65" s="263"/>
      <c r="AN65" s="263"/>
      <c r="AO65" s="74"/>
      <c r="AP65" s="318"/>
      <c r="AQ65" s="263"/>
      <c r="AR65" s="263"/>
      <c r="AS65" s="263"/>
      <c r="AT65" s="263"/>
      <c r="AU65" s="263"/>
      <c r="AV65" s="163"/>
      <c r="AW65" s="145" t="b">
        <v>0</v>
      </c>
      <c r="AX65" s="321" t="str">
        <f>IF(OR(RIGHT(S64,2)="et",LEFT(S64)="F"),"Pop-Up","--")</f>
        <v>--</v>
      </c>
      <c r="AY65" s="1"/>
      <c r="AZ65" s="1"/>
    </row>
    <row r="66" ht="16.5" customHeight="1" outlineLevel="1">
      <c r="A66" s="1"/>
      <c r="I66" s="316" t="s">
        <v>513</v>
      </c>
      <c r="J66" s="216"/>
      <c r="K66" s="11">
        <v>0.0</v>
      </c>
      <c r="L66" s="9"/>
      <c r="M66" s="220"/>
      <c r="N66" s="216"/>
      <c r="O66" s="216"/>
      <c r="P66" s="216"/>
      <c r="Q66" s="199"/>
      <c r="R66" s="1"/>
      <c r="S66" s="1"/>
      <c r="T66" s="1"/>
      <c r="U66" s="1"/>
      <c r="V66" s="322" t="s">
        <v>514</v>
      </c>
      <c r="Z66" s="322" t="s">
        <v>230</v>
      </c>
      <c r="AA66" s="322" t="s">
        <v>203</v>
      </c>
      <c r="AE66" s="322" t="s">
        <v>206</v>
      </c>
      <c r="AH66" s="322" t="s">
        <v>338</v>
      </c>
      <c r="AL66" s="322" t="s">
        <v>515</v>
      </c>
      <c r="AP66" s="322" t="s">
        <v>516</v>
      </c>
      <c r="AW66" s="1"/>
      <c r="AX66" s="1"/>
      <c r="AY66" s="1"/>
      <c r="AZ66" s="1"/>
    </row>
    <row r="67" ht="16.5" customHeight="1" outlineLevel="1">
      <c r="A67" s="1"/>
      <c r="I67" s="323" t="s">
        <v>517</v>
      </c>
      <c r="J67" s="158"/>
      <c r="K67" s="11">
        <v>0.0</v>
      </c>
      <c r="L67" s="9"/>
      <c r="M67" s="85"/>
      <c r="N67" s="27"/>
      <c r="O67" s="27"/>
      <c r="P67" s="27"/>
      <c r="Q67" s="30"/>
      <c r="R67" s="1"/>
      <c r="S67" s="6" t="s">
        <v>509</v>
      </c>
      <c r="X67" s="6" t="str">
        <f>IFS(OR(S68="",S68="--"),"--",RIGHT(S68,2)="et",IF(LEFT(S68)&lt;&gt;"S","First ","")&amp;"Turret Type",LEFT(S68,2)="So","--",TRUE,S68&amp;" Weapon")</f>
        <v>--</v>
      </c>
      <c r="AE67" s="6" t="str">
        <f>IF(AND(RIGHT(S68,2)="et",LEFT(S68)&lt;&gt;"S"),"Second Turret Type","--")</f>
        <v>--</v>
      </c>
      <c r="AL67" s="6" t="str">
        <f>IF(AND(RIGHT(S68,2)="et",OR(LEFT(S68)="T",LEFT(S68)="Q")),"Third Turret Type","--")</f>
        <v>--</v>
      </c>
      <c r="AS67" s="6" t="str">
        <f>IF(AND(RIGHT(S68,2)="et",LEFT(S68)="Q"),"Fourth Turret Type","--")</f>
        <v>--</v>
      </c>
      <c r="AZ67" s="1"/>
    </row>
    <row r="68" ht="16.5" customHeight="1" outlineLevel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8"/>
      <c r="T68" s="15"/>
      <c r="U68" s="15"/>
      <c r="V68" s="15"/>
      <c r="W68" s="16"/>
      <c r="X68" s="269"/>
      <c r="Y68" s="15"/>
      <c r="Z68" s="15"/>
      <c r="AA68" s="15"/>
      <c r="AB68" s="15"/>
      <c r="AC68" s="15"/>
      <c r="AD68" s="16"/>
      <c r="AE68" s="17"/>
      <c r="AF68" s="15"/>
      <c r="AG68" s="15"/>
      <c r="AH68" s="15"/>
      <c r="AI68" s="15"/>
      <c r="AJ68" s="15"/>
      <c r="AK68" s="16"/>
      <c r="AL68" s="17"/>
      <c r="AM68" s="15"/>
      <c r="AN68" s="15"/>
      <c r="AO68" s="15"/>
      <c r="AP68" s="15"/>
      <c r="AQ68" s="15"/>
      <c r="AR68" s="16"/>
      <c r="AS68" s="269"/>
      <c r="AT68" s="15"/>
      <c r="AU68" s="15"/>
      <c r="AV68" s="15"/>
      <c r="AW68" s="15"/>
      <c r="AX68" s="15"/>
      <c r="AY68" s="9"/>
      <c r="AZ68" s="1"/>
    </row>
    <row r="69" ht="16.5" customHeight="1" outlineLevel="1">
      <c r="A69" s="1"/>
      <c r="B69" s="62" t="s">
        <v>334</v>
      </c>
      <c r="G69" s="277">
        <v>0.0</v>
      </c>
      <c r="H69" s="15"/>
      <c r="I69" s="9"/>
      <c r="J69" s="62" t="s">
        <v>518</v>
      </c>
      <c r="O69" s="277">
        <v>0.0</v>
      </c>
      <c r="P69" s="15"/>
      <c r="Q69" s="9"/>
      <c r="R69" s="1"/>
      <c r="S69" s="62" t="s">
        <v>244</v>
      </c>
      <c r="T69" s="11">
        <v>0.0</v>
      </c>
      <c r="U69" s="9"/>
      <c r="V69" s="277">
        <v>0.0</v>
      </c>
      <c r="W69" s="15"/>
      <c r="X69" s="15"/>
      <c r="Y69" s="9"/>
      <c r="Z69" s="13"/>
      <c r="AA69" s="317"/>
      <c r="AB69" s="263"/>
      <c r="AC69" s="263"/>
      <c r="AD69" s="74"/>
      <c r="AE69" s="318"/>
      <c r="AF69" s="263"/>
      <c r="AG69" s="74"/>
      <c r="AH69" s="318"/>
      <c r="AI69" s="263"/>
      <c r="AJ69" s="319"/>
      <c r="AK69" s="320"/>
      <c r="AL69" s="318"/>
      <c r="AM69" s="263"/>
      <c r="AN69" s="263"/>
      <c r="AO69" s="74"/>
      <c r="AP69" s="318"/>
      <c r="AQ69" s="263"/>
      <c r="AR69" s="263"/>
      <c r="AS69" s="263"/>
      <c r="AT69" s="263"/>
      <c r="AU69" s="263"/>
      <c r="AV69" s="163"/>
      <c r="AW69" s="145" t="b">
        <v>0</v>
      </c>
      <c r="AX69" s="321" t="str">
        <f>IF(OR(RIGHT(S68,2)="et",LEFT(S68)="F"),"Pop-Up","--")</f>
        <v>--</v>
      </c>
      <c r="AY69" s="1"/>
      <c r="AZ69" s="1"/>
    </row>
    <row r="70" ht="16.5" customHeight="1" outlineLevel="1">
      <c r="A70" s="1"/>
      <c r="B70" s="62" t="s">
        <v>519</v>
      </c>
      <c r="F70" s="245"/>
      <c r="G70" s="22"/>
      <c r="H70" s="22"/>
      <c r="I70" s="23"/>
      <c r="J70" s="194"/>
      <c r="K70" s="22"/>
      <c r="L70" s="22"/>
      <c r="M70" s="23"/>
      <c r="N70" s="194"/>
      <c r="O70" s="22"/>
      <c r="P70" s="22"/>
      <c r="Q70" s="25"/>
      <c r="R70" s="1"/>
      <c r="S70" s="1"/>
      <c r="T70" s="1"/>
      <c r="U70" s="1"/>
      <c r="V70" s="322" t="s">
        <v>514</v>
      </c>
      <c r="Z70" s="322" t="s">
        <v>230</v>
      </c>
      <c r="AA70" s="322" t="s">
        <v>203</v>
      </c>
      <c r="AE70" s="322" t="s">
        <v>206</v>
      </c>
      <c r="AH70" s="322" t="s">
        <v>338</v>
      </c>
      <c r="AL70" s="322" t="s">
        <v>515</v>
      </c>
      <c r="AP70" s="322" t="s">
        <v>516</v>
      </c>
      <c r="AW70" s="1"/>
      <c r="AX70" s="1"/>
      <c r="AY70" s="1"/>
      <c r="AZ70" s="1"/>
    </row>
    <row r="71" ht="16.5" customHeight="1" outlineLevel="1">
      <c r="A71" s="1"/>
      <c r="F71" s="85"/>
      <c r="G71" s="27"/>
      <c r="H71" s="27"/>
      <c r="I71" s="28"/>
      <c r="J71" s="214"/>
      <c r="K71" s="27"/>
      <c r="L71" s="27"/>
      <c r="M71" s="28"/>
      <c r="N71" s="214"/>
      <c r="O71" s="27"/>
      <c r="P71" s="27"/>
      <c r="Q71" s="30"/>
      <c r="R71" s="1"/>
      <c r="S71" s="6" t="s">
        <v>509</v>
      </c>
      <c r="X71" s="6" t="str">
        <f>IFS(OR(S72="",S72="--"),"--",RIGHT(S72,2)="et",IF(LEFT(S72)&lt;&gt;"S","First ","")&amp;"Turret Type",LEFT(S72,2)="So","--",TRUE,S72&amp;" Weapon")</f>
        <v>--</v>
      </c>
      <c r="AE71" s="6" t="str">
        <f>IF(AND(RIGHT(S72,2)="et",LEFT(S72)&lt;&gt;"S"),"Second Turret Type","--")</f>
        <v>--</v>
      </c>
      <c r="AL71" s="6" t="str">
        <f>IF(AND(RIGHT(S72,2)="et",OR(LEFT(S72)="T",LEFT(S72)="Q")),"Third Turret Type","--")</f>
        <v>--</v>
      </c>
      <c r="AS71" s="6" t="str">
        <f>IF(AND(RIGHT(S72,2)="et",LEFT(S72)="Q"),"Fourth Turret Type","--")</f>
        <v>--</v>
      </c>
      <c r="AZ71" s="1"/>
    </row>
    <row r="72" ht="16.5" customHeight="1" outlineLevel="1">
      <c r="A72" s="1"/>
      <c r="B72" s="1"/>
      <c r="C72" s="62" t="s">
        <v>520</v>
      </c>
      <c r="K72" s="277">
        <v>0.0</v>
      </c>
      <c r="L72" s="15"/>
      <c r="M72" s="9"/>
      <c r="N72" s="71">
        <f>CEILING(K72/20)</f>
        <v>0</v>
      </c>
      <c r="O72" s="9"/>
      <c r="P72" s="281" t="s">
        <v>143</v>
      </c>
      <c r="R72" s="1"/>
      <c r="S72" s="8"/>
      <c r="T72" s="15"/>
      <c r="U72" s="15"/>
      <c r="V72" s="15"/>
      <c r="W72" s="16"/>
      <c r="X72" s="269"/>
      <c r="Y72" s="15"/>
      <c r="Z72" s="15"/>
      <c r="AA72" s="15"/>
      <c r="AB72" s="15"/>
      <c r="AC72" s="15"/>
      <c r="AD72" s="16"/>
      <c r="AE72" s="17"/>
      <c r="AF72" s="15"/>
      <c r="AG72" s="15"/>
      <c r="AH72" s="15"/>
      <c r="AI72" s="15"/>
      <c r="AJ72" s="15"/>
      <c r="AK72" s="16"/>
      <c r="AL72" s="17"/>
      <c r="AM72" s="15"/>
      <c r="AN72" s="15"/>
      <c r="AO72" s="15"/>
      <c r="AP72" s="15"/>
      <c r="AQ72" s="15"/>
      <c r="AR72" s="16"/>
      <c r="AS72" s="269"/>
      <c r="AT72" s="15"/>
      <c r="AU72" s="15"/>
      <c r="AV72" s="15"/>
      <c r="AW72" s="15"/>
      <c r="AX72" s="15"/>
      <c r="AY72" s="9"/>
      <c r="AZ72" s="1"/>
    </row>
    <row r="73" ht="16.5" customHeight="1" outlineLevel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62" t="s">
        <v>244</v>
      </c>
      <c r="T73" s="11">
        <v>0.0</v>
      </c>
      <c r="U73" s="9"/>
      <c r="V73" s="277">
        <v>0.0</v>
      </c>
      <c r="W73" s="15"/>
      <c r="X73" s="15"/>
      <c r="Y73" s="9"/>
      <c r="Z73" s="13"/>
      <c r="AA73" s="317"/>
      <c r="AB73" s="263"/>
      <c r="AC73" s="263"/>
      <c r="AD73" s="74"/>
      <c r="AE73" s="318"/>
      <c r="AF73" s="263"/>
      <c r="AG73" s="74"/>
      <c r="AH73" s="318"/>
      <c r="AI73" s="263"/>
      <c r="AJ73" s="319"/>
      <c r="AK73" s="320"/>
      <c r="AL73" s="318"/>
      <c r="AM73" s="263"/>
      <c r="AN73" s="263"/>
      <c r="AO73" s="74"/>
      <c r="AP73" s="318"/>
      <c r="AQ73" s="263"/>
      <c r="AR73" s="263"/>
      <c r="AS73" s="263"/>
      <c r="AT73" s="263"/>
      <c r="AU73" s="263"/>
      <c r="AV73" s="163"/>
      <c r="AW73" s="145" t="b">
        <v>0</v>
      </c>
      <c r="AX73" s="321" t="str">
        <f>IF(OR(RIGHT(S72,2)="et",LEFT(S72)="F"),"Pop-Up","--")</f>
        <v>--</v>
      </c>
      <c r="AY73" s="1"/>
      <c r="AZ73" s="1"/>
    </row>
    <row r="74" ht="16.5" customHeight="1" outlineLevel="1">
      <c r="A74" s="1"/>
      <c r="B74" s="62" t="s">
        <v>521</v>
      </c>
      <c r="H74" s="11">
        <v>0.0</v>
      </c>
      <c r="I74" s="9"/>
      <c r="J74" s="62" t="s">
        <v>522</v>
      </c>
      <c r="P74" s="11">
        <v>0.0</v>
      </c>
      <c r="Q74" s="9"/>
      <c r="R74" s="1"/>
      <c r="S74" s="1"/>
      <c r="T74" s="1"/>
      <c r="U74" s="1"/>
      <c r="V74" s="322" t="s">
        <v>514</v>
      </c>
      <c r="Z74" s="322" t="s">
        <v>230</v>
      </c>
      <c r="AA74" s="322" t="s">
        <v>203</v>
      </c>
      <c r="AE74" s="322" t="s">
        <v>206</v>
      </c>
      <c r="AH74" s="322" t="s">
        <v>338</v>
      </c>
      <c r="AL74" s="322" t="s">
        <v>515</v>
      </c>
      <c r="AP74" s="322" t="s">
        <v>516</v>
      </c>
      <c r="AW74" s="1"/>
      <c r="AX74" s="1"/>
      <c r="AY74" s="1"/>
      <c r="AZ74" s="1"/>
    </row>
    <row r="75" ht="16.5" customHeight="1" outlineLevel="1">
      <c r="A75" s="1"/>
      <c r="B75" s="62" t="s">
        <v>523</v>
      </c>
      <c r="H75" s="11">
        <v>0.0</v>
      </c>
      <c r="I75" s="9"/>
      <c r="J75" s="62" t="s">
        <v>524</v>
      </c>
      <c r="P75" s="11">
        <v>0.0</v>
      </c>
      <c r="Q75" s="9"/>
      <c r="R75" s="1"/>
      <c r="S75" s="6" t="s">
        <v>509</v>
      </c>
      <c r="X75" s="6" t="str">
        <f>IFS(OR(S76="",S76="--"),"--",RIGHT(S76,2)="et",IF(LEFT(S76)&lt;&gt;"S","First ","")&amp;"Turret Type",LEFT(S76,2)="So","--",TRUE,S76&amp;" Weapon")</f>
        <v>--</v>
      </c>
      <c r="AE75" s="6" t="str">
        <f>IF(AND(RIGHT(S76,2)="et",LEFT(S76)&lt;&gt;"S"),"Second Turret Type","--")</f>
        <v>--</v>
      </c>
      <c r="AL75" s="6" t="str">
        <f>IF(AND(RIGHT(S76,2)="et",OR(LEFT(S76)="T",LEFT(S76)="Q")),"Third Turret Type","--")</f>
        <v>--</v>
      </c>
      <c r="AS75" s="6" t="str">
        <f>IF(AND(RIGHT(S76,2)="et",LEFT(S76)="Q"),"Fourth Turret Type","--")</f>
        <v>--</v>
      </c>
      <c r="AZ75" s="1"/>
    </row>
    <row r="76" ht="16.5" customHeight="1" outlineLevel="1">
      <c r="A76" s="1"/>
      <c r="B76" s="62" t="s">
        <v>525</v>
      </c>
      <c r="H76" s="11">
        <v>0.0</v>
      </c>
      <c r="I76" s="9"/>
      <c r="J76" s="62" t="s">
        <v>404</v>
      </c>
      <c r="P76" s="11">
        <v>0.0</v>
      </c>
      <c r="Q76" s="9"/>
      <c r="R76" s="1"/>
      <c r="S76" s="8"/>
      <c r="T76" s="15"/>
      <c r="U76" s="15"/>
      <c r="V76" s="15"/>
      <c r="W76" s="16"/>
      <c r="X76" s="269"/>
      <c r="Y76" s="15"/>
      <c r="Z76" s="15"/>
      <c r="AA76" s="15"/>
      <c r="AB76" s="15"/>
      <c r="AC76" s="15"/>
      <c r="AD76" s="16"/>
      <c r="AE76" s="17"/>
      <c r="AF76" s="15"/>
      <c r="AG76" s="15"/>
      <c r="AH76" s="15"/>
      <c r="AI76" s="15"/>
      <c r="AJ76" s="15"/>
      <c r="AK76" s="16"/>
      <c r="AL76" s="17"/>
      <c r="AM76" s="15"/>
      <c r="AN76" s="15"/>
      <c r="AO76" s="15"/>
      <c r="AP76" s="15"/>
      <c r="AQ76" s="15"/>
      <c r="AR76" s="16"/>
      <c r="AS76" s="269"/>
      <c r="AT76" s="15"/>
      <c r="AU76" s="15"/>
      <c r="AV76" s="15"/>
      <c r="AW76" s="15"/>
      <c r="AX76" s="15"/>
      <c r="AY76" s="9"/>
      <c r="AZ76" s="1"/>
    </row>
    <row r="77" ht="16.5" customHeight="1" outlineLevel="1">
      <c r="A77" s="1"/>
      <c r="B77" s="62" t="s">
        <v>526</v>
      </c>
      <c r="H77" s="11">
        <v>0.0</v>
      </c>
      <c r="I77" s="9"/>
      <c r="J77" s="62" t="s">
        <v>527</v>
      </c>
      <c r="P77" s="11">
        <v>0.0</v>
      </c>
      <c r="Q77" s="9"/>
      <c r="R77" s="1"/>
      <c r="S77" s="62" t="s">
        <v>244</v>
      </c>
      <c r="T77" s="11">
        <v>0.0</v>
      </c>
      <c r="U77" s="9"/>
      <c r="V77" s="277">
        <v>0.0</v>
      </c>
      <c r="W77" s="15"/>
      <c r="X77" s="15"/>
      <c r="Y77" s="9"/>
      <c r="Z77" s="13"/>
      <c r="AA77" s="317"/>
      <c r="AB77" s="263"/>
      <c r="AC77" s="263"/>
      <c r="AD77" s="74"/>
      <c r="AE77" s="318"/>
      <c r="AF77" s="263"/>
      <c r="AG77" s="74"/>
      <c r="AH77" s="318"/>
      <c r="AI77" s="263"/>
      <c r="AJ77" s="319"/>
      <c r="AK77" s="320"/>
      <c r="AL77" s="318"/>
      <c r="AM77" s="263"/>
      <c r="AN77" s="263"/>
      <c r="AO77" s="74"/>
      <c r="AP77" s="318"/>
      <c r="AQ77" s="263"/>
      <c r="AR77" s="263"/>
      <c r="AS77" s="263"/>
      <c r="AT77" s="263"/>
      <c r="AU77" s="263"/>
      <c r="AV77" s="163"/>
      <c r="AW77" s="145" t="b">
        <v>0</v>
      </c>
      <c r="AX77" s="321" t="str">
        <f>IF(OR(RIGHT(S76,2)="et",LEFT(S76)="F"),"Pop-Up","--")</f>
        <v>--</v>
      </c>
      <c r="AY77" s="1"/>
      <c r="AZ77" s="1"/>
    </row>
    <row r="78" ht="16.5" customHeight="1" outlineLevel="1">
      <c r="A78" s="1"/>
      <c r="B78" s="62" t="s">
        <v>528</v>
      </c>
      <c r="H78" s="11">
        <v>0.0</v>
      </c>
      <c r="I78" s="9"/>
      <c r="J78" s="62" t="s">
        <v>529</v>
      </c>
      <c r="P78" s="11">
        <v>0.0</v>
      </c>
      <c r="Q78" s="9"/>
      <c r="R78" s="1"/>
      <c r="S78" s="1"/>
      <c r="T78" s="1"/>
      <c r="U78" s="1"/>
      <c r="V78" s="322" t="s">
        <v>514</v>
      </c>
      <c r="Z78" s="322" t="s">
        <v>230</v>
      </c>
      <c r="AA78" s="322" t="s">
        <v>203</v>
      </c>
      <c r="AE78" s="322" t="s">
        <v>206</v>
      </c>
      <c r="AH78" s="322" t="s">
        <v>338</v>
      </c>
      <c r="AL78" s="322" t="s">
        <v>515</v>
      </c>
      <c r="AP78" s="322" t="s">
        <v>516</v>
      </c>
      <c r="AW78" s="1"/>
      <c r="AX78" s="1"/>
      <c r="AY78" s="1"/>
      <c r="AZ78" s="1"/>
    </row>
    <row r="79" ht="16.5" customHeight="1" outlineLevel="1">
      <c r="A79" s="1"/>
      <c r="B79" s="80" t="s">
        <v>530</v>
      </c>
      <c r="R79" s="1"/>
      <c r="S79" s="6" t="s">
        <v>509</v>
      </c>
      <c r="X79" s="6" t="str">
        <f>IFS(OR(S80="",S80="--"),"--",RIGHT(S80,2)="et",IF(LEFT(S80)&lt;&gt;"S","First ","")&amp;"Turret Type",LEFT(S80,2)="So","--",TRUE,S80&amp;" Weapon")</f>
        <v>--</v>
      </c>
      <c r="AE79" s="6" t="str">
        <f>IF(AND(RIGHT(S80,2)="et",LEFT(S80)&lt;&gt;"S"),"Second Turret Type","--")</f>
        <v>--</v>
      </c>
      <c r="AL79" s="6" t="str">
        <f>IF(AND(RIGHT(S80,2)="et",OR(LEFT(S80)="T",LEFT(S80)="Q")),"Third Turret Type","--")</f>
        <v>--</v>
      </c>
      <c r="AS79" s="6" t="str">
        <f>IF(AND(RIGHT(S80,2)="et",LEFT(S80)="Q"),"Fourth Turret Type","--")</f>
        <v>--</v>
      </c>
      <c r="AZ79" s="1"/>
    </row>
    <row r="80" ht="16.5" customHeight="1" outlineLevel="1">
      <c r="A80" s="1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1"/>
      <c r="S80" s="8"/>
      <c r="T80" s="15"/>
      <c r="U80" s="15"/>
      <c r="V80" s="15"/>
      <c r="W80" s="16"/>
      <c r="X80" s="269"/>
      <c r="Y80" s="15"/>
      <c r="Z80" s="15"/>
      <c r="AA80" s="15"/>
      <c r="AB80" s="15"/>
      <c r="AC80" s="15"/>
      <c r="AD80" s="16"/>
      <c r="AE80" s="17"/>
      <c r="AF80" s="15"/>
      <c r="AG80" s="15"/>
      <c r="AH80" s="15"/>
      <c r="AI80" s="15"/>
      <c r="AJ80" s="15"/>
      <c r="AK80" s="16"/>
      <c r="AL80" s="17"/>
      <c r="AM80" s="15"/>
      <c r="AN80" s="15"/>
      <c r="AO80" s="15"/>
      <c r="AP80" s="15"/>
      <c r="AQ80" s="15"/>
      <c r="AR80" s="16"/>
      <c r="AS80" s="269"/>
      <c r="AT80" s="15"/>
      <c r="AU80" s="15"/>
      <c r="AV80" s="15"/>
      <c r="AW80" s="15"/>
      <c r="AX80" s="15"/>
      <c r="AY80" s="9"/>
      <c r="AZ80" s="1"/>
    </row>
    <row r="81" ht="16.5" customHeight="1" outlineLevel="1">
      <c r="A81" s="1"/>
      <c r="B81" s="1"/>
      <c r="C81" s="1"/>
      <c r="D81" s="1"/>
      <c r="E81" s="1"/>
      <c r="F81" s="1"/>
      <c r="G81" s="6" t="s">
        <v>66</v>
      </c>
      <c r="I81" s="6" t="s">
        <v>353</v>
      </c>
      <c r="K81" s="1"/>
      <c r="L81" s="1"/>
      <c r="M81" s="1"/>
      <c r="N81" s="1"/>
      <c r="O81" s="1"/>
      <c r="P81" s="1"/>
      <c r="Q81" s="1"/>
      <c r="R81" s="1"/>
      <c r="S81" s="62" t="s">
        <v>244</v>
      </c>
      <c r="T81" s="11">
        <v>0.0</v>
      </c>
      <c r="U81" s="9"/>
      <c r="V81" s="277">
        <v>0.0</v>
      </c>
      <c r="W81" s="15"/>
      <c r="X81" s="15"/>
      <c r="Y81" s="9"/>
      <c r="Z81" s="13"/>
      <c r="AA81" s="317"/>
      <c r="AB81" s="263"/>
      <c r="AC81" s="263"/>
      <c r="AD81" s="74"/>
      <c r="AE81" s="318"/>
      <c r="AF81" s="263"/>
      <c r="AG81" s="74"/>
      <c r="AH81" s="318"/>
      <c r="AI81" s="263"/>
      <c r="AJ81" s="319"/>
      <c r="AK81" s="320"/>
      <c r="AL81" s="318"/>
      <c r="AM81" s="263"/>
      <c r="AN81" s="263"/>
      <c r="AO81" s="74"/>
      <c r="AP81" s="318"/>
      <c r="AQ81" s="263"/>
      <c r="AR81" s="263"/>
      <c r="AS81" s="263"/>
      <c r="AT81" s="263"/>
      <c r="AU81" s="263"/>
      <c r="AV81" s="163"/>
      <c r="AW81" s="145" t="b">
        <v>0</v>
      </c>
      <c r="AX81" s="321" t="str">
        <f>IF(OR(RIGHT(S80,2)="et",LEFT(S80)="F"),"Pop-Up","--")</f>
        <v>--</v>
      </c>
      <c r="AY81" s="1"/>
      <c r="AZ81" s="1"/>
    </row>
    <row r="82" ht="16.5" customHeight="1" outlineLevel="1">
      <c r="A82" s="1"/>
      <c r="B82" s="62" t="s">
        <v>531</v>
      </c>
      <c r="G82" s="11">
        <v>0.0</v>
      </c>
      <c r="H82" s="266"/>
      <c r="I82" s="267">
        <v>0.0</v>
      </c>
      <c r="J82" s="9"/>
      <c r="K82" s="62" t="s">
        <v>532</v>
      </c>
      <c r="Q82" s="145" t="b">
        <v>0</v>
      </c>
      <c r="R82" s="1"/>
      <c r="S82" s="1"/>
      <c r="T82" s="1"/>
      <c r="U82" s="1"/>
      <c r="V82" s="322" t="s">
        <v>514</v>
      </c>
      <c r="Z82" s="322" t="s">
        <v>230</v>
      </c>
      <c r="AA82" s="322" t="s">
        <v>203</v>
      </c>
      <c r="AE82" s="322" t="s">
        <v>206</v>
      </c>
      <c r="AH82" s="322" t="s">
        <v>338</v>
      </c>
      <c r="AL82" s="322" t="s">
        <v>515</v>
      </c>
      <c r="AP82" s="322" t="s">
        <v>516</v>
      </c>
      <c r="AW82" s="1"/>
      <c r="AX82" s="1"/>
      <c r="AY82" s="1"/>
      <c r="AZ82" s="1"/>
    </row>
    <row r="83" ht="16.5" customHeight="1" outlineLevel="1">
      <c r="A83" s="1"/>
      <c r="B83" s="62" t="s">
        <v>533</v>
      </c>
      <c r="G83" s="11">
        <v>0.0</v>
      </c>
      <c r="H83" s="266"/>
      <c r="I83" s="267">
        <v>0.0</v>
      </c>
      <c r="J83" s="9"/>
      <c r="K83" s="1"/>
      <c r="L83" s="1"/>
      <c r="M83" s="1"/>
      <c r="N83" s="1"/>
      <c r="O83" s="1"/>
      <c r="P83" s="1"/>
      <c r="Q83" s="1"/>
      <c r="R83" s="1"/>
      <c r="S83" s="6" t="s">
        <v>509</v>
      </c>
      <c r="X83" s="6" t="str">
        <f>IFS(OR(S84="",S84="--"),"--",RIGHT(S84,2)="et",IF(LEFT(S84)&lt;&gt;"S","First ","")&amp;"Turret Type",LEFT(S84,2)="So","--",TRUE,S84&amp;" Weapon")</f>
        <v>--</v>
      </c>
      <c r="AE83" s="6" t="str">
        <f>IF(AND(RIGHT(S84,2)="et",LEFT(S84)&lt;&gt;"S"),"Second Turret Type","--")</f>
        <v>--</v>
      </c>
      <c r="AL83" s="6" t="str">
        <f>IF(AND(RIGHT(S84,2)="et",OR(LEFT(S84)="T",LEFT(S84)="Q")),"Third Turret Type","--")</f>
        <v>--</v>
      </c>
      <c r="AS83" s="6" t="str">
        <f>IF(AND(RIGHT(S84,2)="et",LEFT(S84)="Q"),"Fourth Turret Type","--")</f>
        <v>--</v>
      </c>
      <c r="AZ83" s="1"/>
    </row>
    <row r="84" ht="16.5" customHeight="1" outlineLevel="1">
      <c r="A84" s="1"/>
      <c r="B84" s="62" t="s">
        <v>534</v>
      </c>
      <c r="G84" s="11">
        <v>0.0</v>
      </c>
      <c r="H84" s="266"/>
      <c r="I84" s="267">
        <v>0.0</v>
      </c>
      <c r="J84" s="9"/>
      <c r="K84" s="62" t="s">
        <v>535</v>
      </c>
      <c r="O84" s="324">
        <f>10*CEILING(I82/5)+CEILING(I83/5)+CEILING(I84/5)+IF(Q82,MAX(W5*0.01,1),0)</f>
        <v>0</v>
      </c>
      <c r="P84" s="15"/>
      <c r="Q84" s="9"/>
      <c r="R84" s="1"/>
      <c r="S84" s="8"/>
      <c r="T84" s="15"/>
      <c r="U84" s="15"/>
      <c r="V84" s="15"/>
      <c r="W84" s="16"/>
      <c r="X84" s="269"/>
      <c r="Y84" s="15"/>
      <c r="Z84" s="15"/>
      <c r="AA84" s="15"/>
      <c r="AB84" s="15"/>
      <c r="AC84" s="15"/>
      <c r="AD84" s="16"/>
      <c r="AE84" s="17"/>
      <c r="AF84" s="15"/>
      <c r="AG84" s="15"/>
      <c r="AH84" s="15"/>
      <c r="AI84" s="15"/>
      <c r="AJ84" s="15"/>
      <c r="AK84" s="16"/>
      <c r="AL84" s="17"/>
      <c r="AM84" s="15"/>
      <c r="AN84" s="15"/>
      <c r="AO84" s="15"/>
      <c r="AP84" s="15"/>
      <c r="AQ84" s="15"/>
      <c r="AR84" s="16"/>
      <c r="AS84" s="269"/>
      <c r="AT84" s="15"/>
      <c r="AU84" s="15"/>
      <c r="AV84" s="15"/>
      <c r="AW84" s="15"/>
      <c r="AX84" s="15"/>
      <c r="AY84" s="9"/>
      <c r="AZ84" s="1"/>
    </row>
    <row r="85" ht="16.5" customHeight="1" outlineLevel="1">
      <c r="A85" s="1"/>
      <c r="B85" s="80" t="s">
        <v>536</v>
      </c>
      <c r="R85" s="1"/>
      <c r="S85" s="62" t="s">
        <v>244</v>
      </c>
      <c r="T85" s="11">
        <v>0.0</v>
      </c>
      <c r="U85" s="9"/>
      <c r="V85" s="277">
        <v>0.0</v>
      </c>
      <c r="W85" s="15"/>
      <c r="X85" s="15"/>
      <c r="Y85" s="9"/>
      <c r="Z85" s="13"/>
      <c r="AA85" s="317"/>
      <c r="AB85" s="263"/>
      <c r="AC85" s="263"/>
      <c r="AD85" s="74"/>
      <c r="AE85" s="318"/>
      <c r="AF85" s="263"/>
      <c r="AG85" s="74"/>
      <c r="AH85" s="318"/>
      <c r="AI85" s="263"/>
      <c r="AJ85" s="319"/>
      <c r="AK85" s="320"/>
      <c r="AL85" s="318"/>
      <c r="AM85" s="263"/>
      <c r="AN85" s="263"/>
      <c r="AO85" s="74"/>
      <c r="AP85" s="318"/>
      <c r="AQ85" s="263"/>
      <c r="AR85" s="263"/>
      <c r="AS85" s="263"/>
      <c r="AT85" s="263"/>
      <c r="AU85" s="263"/>
      <c r="AV85" s="163"/>
      <c r="AW85" s="145" t="b">
        <v>0</v>
      </c>
      <c r="AX85" s="321" t="str">
        <f>IF(OR(RIGHT(S84,2)="et",LEFT(S84)="F"),"Pop-Up","--")</f>
        <v>--</v>
      </c>
      <c r="AY85" s="1"/>
      <c r="AZ85" s="1"/>
    </row>
    <row r="86" ht="16.5" customHeight="1" outlineLevel="1">
      <c r="A86" s="1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1"/>
      <c r="S86" s="1"/>
      <c r="T86" s="1"/>
      <c r="U86" s="1"/>
      <c r="V86" s="322" t="s">
        <v>514</v>
      </c>
      <c r="Z86" s="322" t="s">
        <v>230</v>
      </c>
      <c r="AA86" s="322" t="s">
        <v>203</v>
      </c>
      <c r="AE86" s="322" t="s">
        <v>206</v>
      </c>
      <c r="AH86" s="322" t="s">
        <v>338</v>
      </c>
      <c r="AL86" s="322" t="s">
        <v>515</v>
      </c>
      <c r="AP86" s="322" t="s">
        <v>516</v>
      </c>
      <c r="AW86" s="1"/>
      <c r="AX86" s="1"/>
      <c r="AY86" s="1"/>
      <c r="AZ86" s="1"/>
    </row>
    <row r="87" ht="16.5" customHeight="1" outlineLevel="1">
      <c r="A87" s="1"/>
      <c r="B87" s="1"/>
      <c r="C87" s="1"/>
      <c r="D87" s="62" t="s">
        <v>537</v>
      </c>
      <c r="L87" s="277">
        <v>0.0</v>
      </c>
      <c r="M87" s="15"/>
      <c r="N87" s="15"/>
      <c r="O87" s="9"/>
      <c r="P87" s="1"/>
      <c r="Q87" s="1"/>
      <c r="R87" s="1"/>
      <c r="S87" s="6" t="s">
        <v>509</v>
      </c>
      <c r="X87" s="6" t="str">
        <f>IFS(OR(S88="",S88="--"),"--",RIGHT(S88,2)="et",IF(LEFT(S88)&lt;&gt;"S","First ","")&amp;"Turret Type",LEFT(S88,2)="So","--",TRUE,S88&amp;" Weapon")</f>
        <v>--</v>
      </c>
      <c r="AE87" s="6" t="str">
        <f>IF(AND(RIGHT(S88,2)="et",LEFT(S88)&lt;&gt;"S"),"Second Turret Type","--")</f>
        <v>--</v>
      </c>
      <c r="AL87" s="6" t="str">
        <f>IF(AND(RIGHT(S88,2)="et",OR(LEFT(S88)="T",LEFT(S88)="Q")),"Third Turret Type","--")</f>
        <v>--</v>
      </c>
      <c r="AS87" s="6" t="str">
        <f>IF(AND(RIGHT(S88,2)="et",LEFT(S88)="Q"),"Fourth Turret Type","--")</f>
        <v>--</v>
      </c>
      <c r="AZ87" s="1"/>
    </row>
    <row r="88" ht="16.5" customHeight="1" outlineLevel="1">
      <c r="A88" s="1"/>
      <c r="B88" s="1"/>
      <c r="C88" s="1"/>
      <c r="D88" s="62" t="s">
        <v>538</v>
      </c>
      <c r="L88" s="325">
        <v>0.0</v>
      </c>
      <c r="M88" s="54"/>
      <c r="N88" s="54"/>
      <c r="O88" s="79"/>
      <c r="P88" s="1"/>
      <c r="Q88" s="1"/>
      <c r="R88" s="1"/>
      <c r="S88" s="8"/>
      <c r="T88" s="15"/>
      <c r="U88" s="15"/>
      <c r="V88" s="15"/>
      <c r="W88" s="16"/>
      <c r="X88" s="269"/>
      <c r="Y88" s="15"/>
      <c r="Z88" s="15"/>
      <c r="AA88" s="15"/>
      <c r="AB88" s="15"/>
      <c r="AC88" s="15"/>
      <c r="AD88" s="16"/>
      <c r="AE88" s="17"/>
      <c r="AF88" s="15"/>
      <c r="AG88" s="15"/>
      <c r="AH88" s="15"/>
      <c r="AI88" s="15"/>
      <c r="AJ88" s="15"/>
      <c r="AK88" s="16"/>
      <c r="AL88" s="17"/>
      <c r="AM88" s="15"/>
      <c r="AN88" s="15"/>
      <c r="AO88" s="15"/>
      <c r="AP88" s="15"/>
      <c r="AQ88" s="15"/>
      <c r="AR88" s="16"/>
      <c r="AS88" s="269"/>
      <c r="AT88" s="15"/>
      <c r="AU88" s="15"/>
      <c r="AV88" s="15"/>
      <c r="AW88" s="15"/>
      <c r="AX88" s="15"/>
      <c r="AY88" s="9"/>
      <c r="AZ88" s="1"/>
    </row>
    <row r="89" ht="16.5" customHeight="1" outlineLevel="1">
      <c r="A89" s="1"/>
      <c r="B89" s="1"/>
      <c r="C89" s="1"/>
      <c r="D89" s="62" t="s">
        <v>539</v>
      </c>
      <c r="L89" s="326">
        <f>SUM(L87:L88)</f>
        <v>0</v>
      </c>
      <c r="M89" s="155"/>
      <c r="N89" s="155"/>
      <c r="O89" s="156"/>
      <c r="P89" s="1"/>
      <c r="Q89" s="1"/>
      <c r="R89" s="1"/>
      <c r="S89" s="62" t="s">
        <v>244</v>
      </c>
      <c r="T89" s="11">
        <v>0.0</v>
      </c>
      <c r="U89" s="9"/>
      <c r="V89" s="277">
        <v>0.0</v>
      </c>
      <c r="W89" s="15"/>
      <c r="X89" s="15"/>
      <c r="Y89" s="9"/>
      <c r="Z89" s="13"/>
      <c r="AA89" s="317"/>
      <c r="AB89" s="263"/>
      <c r="AC89" s="263"/>
      <c r="AD89" s="74"/>
      <c r="AE89" s="318"/>
      <c r="AF89" s="263"/>
      <c r="AG89" s="74"/>
      <c r="AH89" s="318"/>
      <c r="AI89" s="263"/>
      <c r="AJ89" s="319"/>
      <c r="AK89" s="320"/>
      <c r="AL89" s="318"/>
      <c r="AM89" s="263"/>
      <c r="AN89" s="263"/>
      <c r="AO89" s="74"/>
      <c r="AP89" s="318"/>
      <c r="AQ89" s="263"/>
      <c r="AR89" s="263"/>
      <c r="AS89" s="263"/>
      <c r="AT89" s="263"/>
      <c r="AU89" s="263"/>
      <c r="AV89" s="163"/>
      <c r="AW89" s="145" t="b">
        <v>0</v>
      </c>
      <c r="AX89" s="321" t="str">
        <f>IF(OR(RIGHT(S88,2)="et",LEFT(S88)="F"),"Pop-Up","--")</f>
        <v>--</v>
      </c>
      <c r="AY89" s="1"/>
      <c r="AZ89" s="1"/>
    </row>
    <row r="90" ht="16.5" customHeight="1" outlineLevel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322" t="s">
        <v>514</v>
      </c>
      <c r="Z90" s="322" t="s">
        <v>230</v>
      </c>
      <c r="AA90" s="322" t="s">
        <v>203</v>
      </c>
      <c r="AE90" s="322" t="s">
        <v>206</v>
      </c>
      <c r="AH90" s="322" t="s">
        <v>338</v>
      </c>
      <c r="AL90" s="322" t="s">
        <v>515</v>
      </c>
      <c r="AP90" s="322" t="s">
        <v>516</v>
      </c>
      <c r="AW90" s="1"/>
      <c r="AX90" s="1"/>
      <c r="AY90" s="1"/>
      <c r="AZ90" s="1"/>
    </row>
    <row r="91" ht="16.5" customHeight="1" outlineLevel="1">
      <c r="A91" s="1"/>
      <c r="B91" s="62" t="s">
        <v>540</v>
      </c>
      <c r="H91" s="145" t="b">
        <v>0</v>
      </c>
      <c r="I91" s="62" t="s">
        <v>541</v>
      </c>
      <c r="P91" s="11">
        <v>0.0</v>
      </c>
      <c r="Q91" s="9"/>
      <c r="R91" s="1"/>
      <c r="S91" s="6" t="s">
        <v>509</v>
      </c>
      <c r="X91" s="6" t="str">
        <f>IFS(OR(S92="",S92="--"),"--",RIGHT(S92,2)="et",IF(LEFT(S92)&lt;&gt;"S","First ","")&amp;"Turret Type",LEFT(S92,2)="So","--",TRUE,S92&amp;" Weapon")</f>
        <v>--</v>
      </c>
      <c r="AE91" s="6" t="str">
        <f>IF(AND(RIGHT(S92,2)="et",LEFT(S92)&lt;&gt;"S"),"Second Turret Type","--")</f>
        <v>--</v>
      </c>
      <c r="AL91" s="6" t="str">
        <f>IF(AND(RIGHT(S92,2)="et",OR(LEFT(S92)="T",LEFT(S92)="Q")),"Third Turret Type","--")</f>
        <v>--</v>
      </c>
      <c r="AS91" s="6" t="str">
        <f>IF(AND(RIGHT(S92,2)="et",LEFT(S92)="Q"),"Fourth Turret Type","--")</f>
        <v>--</v>
      </c>
      <c r="AZ91" s="1"/>
    </row>
    <row r="92" ht="16.5" customHeight="1" outlineLevel="1">
      <c r="A92" s="1"/>
      <c r="B92" s="62" t="s">
        <v>542</v>
      </c>
      <c r="H92" s="145" t="b">
        <v>0</v>
      </c>
      <c r="I92" s="62" t="s">
        <v>399</v>
      </c>
      <c r="P92" s="11" t="s">
        <v>62</v>
      </c>
      <c r="Q92" s="9"/>
      <c r="R92" s="1"/>
      <c r="S92" s="8" t="s">
        <v>62</v>
      </c>
      <c r="T92" s="15"/>
      <c r="U92" s="15"/>
      <c r="V92" s="15"/>
      <c r="W92" s="16"/>
      <c r="X92" s="269"/>
      <c r="Y92" s="15"/>
      <c r="Z92" s="15"/>
      <c r="AA92" s="15"/>
      <c r="AB92" s="15"/>
      <c r="AC92" s="15"/>
      <c r="AD92" s="16"/>
      <c r="AE92" s="17"/>
      <c r="AF92" s="15"/>
      <c r="AG92" s="15"/>
      <c r="AH92" s="15"/>
      <c r="AI92" s="15"/>
      <c r="AJ92" s="15"/>
      <c r="AK92" s="16"/>
      <c r="AL92" s="17"/>
      <c r="AM92" s="15"/>
      <c r="AN92" s="15"/>
      <c r="AO92" s="15"/>
      <c r="AP92" s="15"/>
      <c r="AQ92" s="15"/>
      <c r="AR92" s="16"/>
      <c r="AS92" s="269"/>
      <c r="AT92" s="15"/>
      <c r="AU92" s="15"/>
      <c r="AV92" s="15"/>
      <c r="AW92" s="15"/>
      <c r="AX92" s="15"/>
      <c r="AY92" s="9"/>
      <c r="AZ92" s="1"/>
    </row>
    <row r="93" ht="16.5" customHeight="1" outlineLevel="1">
      <c r="A93" s="1"/>
      <c r="B93" s="62" t="s">
        <v>543</v>
      </c>
      <c r="H93" s="145" t="b">
        <v>0</v>
      </c>
      <c r="I93" s="62" t="s">
        <v>544</v>
      </c>
      <c r="P93" s="11">
        <v>0.0</v>
      </c>
      <c r="Q93" s="9"/>
      <c r="R93" s="1"/>
      <c r="S93" s="62" t="s">
        <v>244</v>
      </c>
      <c r="T93" s="11">
        <v>0.0</v>
      </c>
      <c r="U93" s="9"/>
      <c r="V93" s="277">
        <v>0.0</v>
      </c>
      <c r="W93" s="15"/>
      <c r="X93" s="15"/>
      <c r="Y93" s="9"/>
      <c r="Z93" s="13"/>
      <c r="AA93" s="317"/>
      <c r="AB93" s="263"/>
      <c r="AC93" s="263"/>
      <c r="AD93" s="74"/>
      <c r="AE93" s="318"/>
      <c r="AF93" s="263"/>
      <c r="AG93" s="74"/>
      <c r="AH93" s="318"/>
      <c r="AI93" s="263"/>
      <c r="AJ93" s="319"/>
      <c r="AK93" s="320"/>
      <c r="AL93" s="318"/>
      <c r="AM93" s="263"/>
      <c r="AN93" s="263"/>
      <c r="AO93" s="74"/>
      <c r="AP93" s="318"/>
      <c r="AQ93" s="263"/>
      <c r="AR93" s="263"/>
      <c r="AS93" s="263"/>
      <c r="AT93" s="263"/>
      <c r="AU93" s="263"/>
      <c r="AV93" s="163"/>
      <c r="AW93" s="145" t="b">
        <v>0</v>
      </c>
      <c r="AX93" s="321" t="str">
        <f>IF(OR(RIGHT(S92,2)="et",LEFT(S92)="F"),"Pop-Up","--")</f>
        <v>--</v>
      </c>
      <c r="AY93" s="1"/>
      <c r="AZ93" s="1"/>
    </row>
    <row r="94" ht="16.5" customHeight="1" outlineLevel="1">
      <c r="A94" s="1"/>
      <c r="B94" s="1"/>
      <c r="C94" s="1"/>
      <c r="D94" s="1"/>
      <c r="E94" s="1"/>
      <c r="F94" s="1"/>
      <c r="G94" s="1"/>
      <c r="H94" s="1"/>
      <c r="I94" s="62" t="s">
        <v>545</v>
      </c>
      <c r="P94" s="11">
        <v>0.0</v>
      </c>
      <c r="Q94" s="9"/>
      <c r="R94" s="1"/>
      <c r="S94" s="1"/>
      <c r="T94" s="1"/>
      <c r="U94" s="1"/>
      <c r="V94" s="322" t="s">
        <v>514</v>
      </c>
      <c r="Z94" s="322" t="s">
        <v>230</v>
      </c>
      <c r="AA94" s="322" t="s">
        <v>203</v>
      </c>
      <c r="AE94" s="322" t="s">
        <v>206</v>
      </c>
      <c r="AH94" s="322" t="s">
        <v>338</v>
      </c>
      <c r="AL94" s="322" t="s">
        <v>515</v>
      </c>
      <c r="AP94" s="322" t="s">
        <v>516</v>
      </c>
      <c r="AW94" s="1"/>
      <c r="AX94" s="1"/>
      <c r="AY94" s="1"/>
      <c r="AZ94" s="1"/>
    </row>
    <row r="95" ht="16.5" customHeight="1" outlineLevel="1">
      <c r="A95" s="1"/>
      <c r="B95" s="80" t="s">
        <v>264</v>
      </c>
      <c r="AZ95" s="1"/>
    </row>
    <row r="96" ht="16.5" customHeight="1" outlineLevel="1">
      <c r="A96" s="1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1"/>
    </row>
    <row r="97" ht="16.5" customHeight="1" outlineLevel="2">
      <c r="A97" s="1"/>
      <c r="B97" s="6" t="s">
        <v>244</v>
      </c>
      <c r="C97" s="6" t="s">
        <v>245</v>
      </c>
      <c r="M97" s="6" t="s">
        <v>54</v>
      </c>
      <c r="AE97" s="6" t="s">
        <v>546</v>
      </c>
      <c r="AJ97" s="6" t="s">
        <v>230</v>
      </c>
      <c r="AL97" s="6" t="s">
        <v>246</v>
      </c>
      <c r="AP97" s="6" t="s">
        <v>266</v>
      </c>
      <c r="AT97" s="6" t="s">
        <v>231</v>
      </c>
      <c r="AZ97" s="1"/>
    </row>
    <row r="98" ht="16.5" customHeight="1" outlineLevel="2">
      <c r="A98" s="1"/>
      <c r="B98" s="31">
        <v>0.0</v>
      </c>
      <c r="C98" s="200"/>
      <c r="D98" s="35"/>
      <c r="E98" s="35"/>
      <c r="F98" s="35"/>
      <c r="G98" s="35"/>
      <c r="H98" s="35"/>
      <c r="I98" s="35"/>
      <c r="J98" s="35"/>
      <c r="K98" s="35"/>
      <c r="L98" s="131"/>
      <c r="M98" s="200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131"/>
      <c r="AE98" s="34"/>
      <c r="AF98" s="35"/>
      <c r="AG98" s="35"/>
      <c r="AH98" s="35"/>
      <c r="AI98" s="131"/>
      <c r="AJ98" s="327"/>
      <c r="AK98" s="131"/>
      <c r="AL98" s="328" t="s">
        <v>269</v>
      </c>
      <c r="AM98" s="35"/>
      <c r="AN98" s="35"/>
      <c r="AO98" s="131"/>
      <c r="AP98" s="329" t="str">
        <f t="shared" ref="AP98:AP127" si="5">IFS(AL98="",,ISNUMBER(AL98),AL98&amp;"",RIGHT(AL98,2)="kg",LEFT(AL98,LEN(AL98)-2)*0.001&amp;"",RIGHT(AL98,3)="kgs",LEFT(AL98,LEN(AL98)-3)*0.001&amp;"",RIGHT(AL98,3)="ton",VALUE(LEFT(AL98,LEN(AL98)-3))&amp;"",RIGHT(AL98,4)="tons",VALUE(LEFT(AL98,LEN(AL98)-4))&amp;"",AND(RIGHT(AL98,1)="t",NOT(ISERROR(VALUE(LEFT(AL98,LEN(AL98)-1))))),VALUE(LEFT(AL98,LEN(AL98)-1))&amp;"",TRUE,"?")</f>
        <v>0.035</v>
      </c>
      <c r="AQ98" s="35"/>
      <c r="AR98" s="35"/>
      <c r="AS98" s="131"/>
      <c r="AT98" s="161">
        <v>0.0</v>
      </c>
      <c r="AU98" s="35"/>
      <c r="AV98" s="35"/>
      <c r="AW98" s="35"/>
      <c r="AX98" s="35"/>
      <c r="AY98" s="36"/>
      <c r="AZ98" s="1"/>
    </row>
    <row r="99" ht="16.5" customHeight="1" outlineLevel="2">
      <c r="A99" s="1"/>
      <c r="B99" s="37">
        <v>0.0</v>
      </c>
      <c r="C99" s="42"/>
      <c r="D99" s="43"/>
      <c r="E99" s="43"/>
      <c r="F99" s="43"/>
      <c r="G99" s="43"/>
      <c r="H99" s="43"/>
      <c r="I99" s="43"/>
      <c r="J99" s="43"/>
      <c r="K99" s="43"/>
      <c r="L99" s="105"/>
      <c r="M99" s="42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105"/>
      <c r="AE99" s="121"/>
      <c r="AF99" s="43"/>
      <c r="AG99" s="43"/>
      <c r="AH99" s="43"/>
      <c r="AI99" s="105"/>
      <c r="AJ99" s="330"/>
      <c r="AK99" s="105"/>
      <c r="AL99" s="331"/>
      <c r="AM99" s="43"/>
      <c r="AN99" s="43"/>
      <c r="AO99" s="105"/>
      <c r="AP99" s="332" t="str">
        <f t="shared" si="5"/>
        <v/>
      </c>
      <c r="AQ99" s="43"/>
      <c r="AR99" s="43"/>
      <c r="AS99" s="105"/>
      <c r="AT99" s="164"/>
      <c r="AU99" s="43"/>
      <c r="AV99" s="43"/>
      <c r="AW99" s="43"/>
      <c r="AX99" s="43"/>
      <c r="AY99" s="44"/>
      <c r="AZ99" s="1"/>
    </row>
    <row r="100" ht="16.5" customHeight="1" outlineLevel="2">
      <c r="A100" s="1"/>
      <c r="B100" s="37">
        <v>0.0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105"/>
      <c r="M100" s="42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105"/>
      <c r="AE100" s="121"/>
      <c r="AF100" s="43"/>
      <c r="AG100" s="43"/>
      <c r="AH100" s="43"/>
      <c r="AI100" s="105"/>
      <c r="AJ100" s="330"/>
      <c r="AK100" s="105"/>
      <c r="AL100" s="331"/>
      <c r="AM100" s="43"/>
      <c r="AN100" s="43"/>
      <c r="AO100" s="105"/>
      <c r="AP100" s="332" t="str">
        <f t="shared" si="5"/>
        <v/>
      </c>
      <c r="AQ100" s="43"/>
      <c r="AR100" s="43"/>
      <c r="AS100" s="105"/>
      <c r="AT100" s="164"/>
      <c r="AU100" s="43"/>
      <c r="AV100" s="43"/>
      <c r="AW100" s="43"/>
      <c r="AX100" s="43"/>
      <c r="AY100" s="44"/>
      <c r="AZ100" s="1"/>
    </row>
    <row r="101" ht="16.5" customHeight="1" outlineLevel="2">
      <c r="A101" s="1"/>
      <c r="B101" s="37">
        <v>0.0</v>
      </c>
      <c r="C101" s="42"/>
      <c r="D101" s="43"/>
      <c r="E101" s="43"/>
      <c r="F101" s="43"/>
      <c r="G101" s="43"/>
      <c r="H101" s="43"/>
      <c r="I101" s="43"/>
      <c r="J101" s="43"/>
      <c r="K101" s="43"/>
      <c r="L101" s="105"/>
      <c r="M101" s="42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105"/>
      <c r="AE101" s="121"/>
      <c r="AF101" s="43"/>
      <c r="AG101" s="43"/>
      <c r="AH101" s="43"/>
      <c r="AI101" s="105"/>
      <c r="AJ101" s="330"/>
      <c r="AK101" s="105"/>
      <c r="AL101" s="331"/>
      <c r="AM101" s="43"/>
      <c r="AN101" s="43"/>
      <c r="AO101" s="105"/>
      <c r="AP101" s="332" t="str">
        <f t="shared" si="5"/>
        <v/>
      </c>
      <c r="AQ101" s="43"/>
      <c r="AR101" s="43"/>
      <c r="AS101" s="105"/>
      <c r="AT101" s="164"/>
      <c r="AU101" s="43"/>
      <c r="AV101" s="43"/>
      <c r="AW101" s="43"/>
      <c r="AX101" s="43"/>
      <c r="AY101" s="44"/>
      <c r="AZ101" s="1"/>
    </row>
    <row r="102" ht="16.5" customHeight="1" outlineLevel="2">
      <c r="A102" s="1"/>
      <c r="B102" s="37">
        <v>0.0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105"/>
      <c r="M102" s="42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105"/>
      <c r="AE102" s="121"/>
      <c r="AF102" s="43"/>
      <c r="AG102" s="43"/>
      <c r="AH102" s="43"/>
      <c r="AI102" s="105"/>
      <c r="AJ102" s="330"/>
      <c r="AK102" s="105"/>
      <c r="AL102" s="331"/>
      <c r="AM102" s="43"/>
      <c r="AN102" s="43"/>
      <c r="AO102" s="105"/>
      <c r="AP102" s="332" t="str">
        <f t="shared" si="5"/>
        <v/>
      </c>
      <c r="AQ102" s="43"/>
      <c r="AR102" s="43"/>
      <c r="AS102" s="105"/>
      <c r="AT102" s="164"/>
      <c r="AU102" s="43"/>
      <c r="AV102" s="43"/>
      <c r="AW102" s="43"/>
      <c r="AX102" s="43"/>
      <c r="AY102" s="44"/>
      <c r="AZ102" s="1"/>
    </row>
    <row r="103" ht="16.5" customHeight="1" outlineLevel="2">
      <c r="A103" s="1"/>
      <c r="B103" s="37">
        <v>0.0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105"/>
      <c r="M103" s="42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105"/>
      <c r="AE103" s="121"/>
      <c r="AF103" s="43"/>
      <c r="AG103" s="43"/>
      <c r="AH103" s="43"/>
      <c r="AI103" s="105"/>
      <c r="AJ103" s="330"/>
      <c r="AK103" s="105"/>
      <c r="AL103" s="331"/>
      <c r="AM103" s="43"/>
      <c r="AN103" s="43"/>
      <c r="AO103" s="105"/>
      <c r="AP103" s="332" t="str">
        <f t="shared" si="5"/>
        <v/>
      </c>
      <c r="AQ103" s="43"/>
      <c r="AR103" s="43"/>
      <c r="AS103" s="105"/>
      <c r="AT103" s="164"/>
      <c r="AU103" s="43"/>
      <c r="AV103" s="43"/>
      <c r="AW103" s="43"/>
      <c r="AX103" s="43"/>
      <c r="AY103" s="44"/>
      <c r="AZ103" s="1"/>
    </row>
    <row r="104" ht="16.5" customHeight="1" outlineLevel="2">
      <c r="A104" s="1"/>
      <c r="B104" s="37">
        <v>0.0</v>
      </c>
      <c r="C104" s="42"/>
      <c r="D104" s="43"/>
      <c r="E104" s="43"/>
      <c r="F104" s="43"/>
      <c r="G104" s="43"/>
      <c r="H104" s="43"/>
      <c r="I104" s="43"/>
      <c r="J104" s="43"/>
      <c r="K104" s="43"/>
      <c r="L104" s="105"/>
      <c r="M104" s="42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105"/>
      <c r="AE104" s="121"/>
      <c r="AF104" s="43"/>
      <c r="AG104" s="43"/>
      <c r="AH104" s="43"/>
      <c r="AI104" s="105"/>
      <c r="AJ104" s="330"/>
      <c r="AK104" s="105"/>
      <c r="AL104" s="331"/>
      <c r="AM104" s="43"/>
      <c r="AN104" s="43"/>
      <c r="AO104" s="105"/>
      <c r="AP104" s="332" t="str">
        <f t="shared" si="5"/>
        <v/>
      </c>
      <c r="AQ104" s="43"/>
      <c r="AR104" s="43"/>
      <c r="AS104" s="105"/>
      <c r="AT104" s="164"/>
      <c r="AU104" s="43"/>
      <c r="AV104" s="43"/>
      <c r="AW104" s="43"/>
      <c r="AX104" s="43"/>
      <c r="AY104" s="44"/>
      <c r="AZ104" s="1"/>
    </row>
    <row r="105" ht="16.5" customHeight="1" outlineLevel="2">
      <c r="A105" s="1"/>
      <c r="B105" s="37">
        <v>0.0</v>
      </c>
      <c r="C105" s="42"/>
      <c r="D105" s="43"/>
      <c r="E105" s="43"/>
      <c r="F105" s="43"/>
      <c r="G105" s="43"/>
      <c r="H105" s="43"/>
      <c r="I105" s="43"/>
      <c r="J105" s="43"/>
      <c r="K105" s="43"/>
      <c r="L105" s="105"/>
      <c r="M105" s="42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105"/>
      <c r="AE105" s="121"/>
      <c r="AF105" s="43"/>
      <c r="AG105" s="43"/>
      <c r="AH105" s="43"/>
      <c r="AI105" s="105"/>
      <c r="AJ105" s="330"/>
      <c r="AK105" s="105"/>
      <c r="AL105" s="331"/>
      <c r="AM105" s="43"/>
      <c r="AN105" s="43"/>
      <c r="AO105" s="105"/>
      <c r="AP105" s="332" t="str">
        <f t="shared" si="5"/>
        <v/>
      </c>
      <c r="AQ105" s="43"/>
      <c r="AR105" s="43"/>
      <c r="AS105" s="105"/>
      <c r="AT105" s="164"/>
      <c r="AU105" s="43"/>
      <c r="AV105" s="43"/>
      <c r="AW105" s="43"/>
      <c r="AX105" s="43"/>
      <c r="AY105" s="44"/>
      <c r="AZ105" s="1"/>
    </row>
    <row r="106" ht="16.5" customHeight="1" outlineLevel="2">
      <c r="A106" s="1"/>
      <c r="B106" s="37">
        <v>0.0</v>
      </c>
      <c r="C106" s="42"/>
      <c r="D106" s="43"/>
      <c r="E106" s="43"/>
      <c r="F106" s="43"/>
      <c r="G106" s="43"/>
      <c r="H106" s="43"/>
      <c r="I106" s="43"/>
      <c r="J106" s="43"/>
      <c r="K106" s="43"/>
      <c r="L106" s="105"/>
      <c r="M106" s="42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105"/>
      <c r="AE106" s="121"/>
      <c r="AF106" s="43"/>
      <c r="AG106" s="43"/>
      <c r="AH106" s="43"/>
      <c r="AI106" s="105"/>
      <c r="AJ106" s="330"/>
      <c r="AK106" s="105"/>
      <c r="AL106" s="331"/>
      <c r="AM106" s="43"/>
      <c r="AN106" s="43"/>
      <c r="AO106" s="105"/>
      <c r="AP106" s="332" t="str">
        <f t="shared" si="5"/>
        <v/>
      </c>
      <c r="AQ106" s="43"/>
      <c r="AR106" s="43"/>
      <c r="AS106" s="105"/>
      <c r="AT106" s="164"/>
      <c r="AU106" s="43"/>
      <c r="AV106" s="43"/>
      <c r="AW106" s="43"/>
      <c r="AX106" s="43"/>
      <c r="AY106" s="44"/>
      <c r="AZ106" s="1"/>
    </row>
    <row r="107" ht="16.5" customHeight="1" outlineLevel="2">
      <c r="A107" s="1"/>
      <c r="B107" s="37">
        <v>0.0</v>
      </c>
      <c r="C107" s="42"/>
      <c r="D107" s="43"/>
      <c r="E107" s="43"/>
      <c r="F107" s="43"/>
      <c r="G107" s="43"/>
      <c r="H107" s="43"/>
      <c r="I107" s="43"/>
      <c r="J107" s="43"/>
      <c r="K107" s="43"/>
      <c r="L107" s="105"/>
      <c r="M107" s="42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105"/>
      <c r="AE107" s="121"/>
      <c r="AF107" s="43"/>
      <c r="AG107" s="43"/>
      <c r="AH107" s="43"/>
      <c r="AI107" s="105"/>
      <c r="AJ107" s="330"/>
      <c r="AK107" s="105"/>
      <c r="AL107" s="331"/>
      <c r="AM107" s="43"/>
      <c r="AN107" s="43"/>
      <c r="AO107" s="105"/>
      <c r="AP107" s="332" t="str">
        <f t="shared" si="5"/>
        <v/>
      </c>
      <c r="AQ107" s="43"/>
      <c r="AR107" s="43"/>
      <c r="AS107" s="105"/>
      <c r="AT107" s="164"/>
      <c r="AU107" s="43"/>
      <c r="AV107" s="43"/>
      <c r="AW107" s="43"/>
      <c r="AX107" s="43"/>
      <c r="AY107" s="44"/>
      <c r="AZ107" s="1"/>
    </row>
    <row r="108" ht="16.5" customHeight="1" outlineLevel="2">
      <c r="A108" s="1"/>
      <c r="B108" s="37">
        <v>0.0</v>
      </c>
      <c r="C108" s="42"/>
      <c r="D108" s="43"/>
      <c r="E108" s="43"/>
      <c r="F108" s="43"/>
      <c r="G108" s="43"/>
      <c r="H108" s="43"/>
      <c r="I108" s="43"/>
      <c r="J108" s="43"/>
      <c r="K108" s="43"/>
      <c r="L108" s="105"/>
      <c r="M108" s="42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105"/>
      <c r="AE108" s="121"/>
      <c r="AF108" s="43"/>
      <c r="AG108" s="43"/>
      <c r="AH108" s="43"/>
      <c r="AI108" s="105"/>
      <c r="AJ108" s="330"/>
      <c r="AK108" s="105"/>
      <c r="AL108" s="331"/>
      <c r="AM108" s="43"/>
      <c r="AN108" s="43"/>
      <c r="AO108" s="105"/>
      <c r="AP108" s="332" t="str">
        <f t="shared" si="5"/>
        <v/>
      </c>
      <c r="AQ108" s="43"/>
      <c r="AR108" s="43"/>
      <c r="AS108" s="105"/>
      <c r="AT108" s="164"/>
      <c r="AU108" s="43"/>
      <c r="AV108" s="43"/>
      <c r="AW108" s="43"/>
      <c r="AX108" s="43"/>
      <c r="AY108" s="44"/>
      <c r="AZ108" s="1"/>
    </row>
    <row r="109" ht="16.5" customHeight="1" outlineLevel="2">
      <c r="A109" s="1"/>
      <c r="B109" s="37">
        <v>0.0</v>
      </c>
      <c r="C109" s="42"/>
      <c r="D109" s="43"/>
      <c r="E109" s="43"/>
      <c r="F109" s="43"/>
      <c r="G109" s="43"/>
      <c r="H109" s="43"/>
      <c r="I109" s="43"/>
      <c r="J109" s="43"/>
      <c r="K109" s="43"/>
      <c r="L109" s="105"/>
      <c r="M109" s="42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105"/>
      <c r="AE109" s="121"/>
      <c r="AF109" s="43"/>
      <c r="AG109" s="43"/>
      <c r="AH109" s="43"/>
      <c r="AI109" s="105"/>
      <c r="AJ109" s="330"/>
      <c r="AK109" s="105"/>
      <c r="AL109" s="331"/>
      <c r="AM109" s="43"/>
      <c r="AN109" s="43"/>
      <c r="AO109" s="105"/>
      <c r="AP109" s="332" t="str">
        <f t="shared" si="5"/>
        <v/>
      </c>
      <c r="AQ109" s="43"/>
      <c r="AR109" s="43"/>
      <c r="AS109" s="105"/>
      <c r="AT109" s="164"/>
      <c r="AU109" s="43"/>
      <c r="AV109" s="43"/>
      <c r="AW109" s="43"/>
      <c r="AX109" s="43"/>
      <c r="AY109" s="44"/>
      <c r="AZ109" s="1"/>
    </row>
    <row r="110" ht="16.5" customHeight="1" outlineLevel="2">
      <c r="A110" s="1"/>
      <c r="B110" s="37">
        <v>0.0</v>
      </c>
      <c r="C110" s="42"/>
      <c r="D110" s="43"/>
      <c r="E110" s="43"/>
      <c r="F110" s="43"/>
      <c r="G110" s="43"/>
      <c r="H110" s="43"/>
      <c r="I110" s="43"/>
      <c r="J110" s="43"/>
      <c r="K110" s="43"/>
      <c r="L110" s="105"/>
      <c r="M110" s="42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105"/>
      <c r="AE110" s="121"/>
      <c r="AF110" s="43"/>
      <c r="AG110" s="43"/>
      <c r="AH110" s="43"/>
      <c r="AI110" s="105"/>
      <c r="AJ110" s="330"/>
      <c r="AK110" s="105"/>
      <c r="AL110" s="331"/>
      <c r="AM110" s="43"/>
      <c r="AN110" s="43"/>
      <c r="AO110" s="105"/>
      <c r="AP110" s="332" t="str">
        <f t="shared" si="5"/>
        <v/>
      </c>
      <c r="AQ110" s="43"/>
      <c r="AR110" s="43"/>
      <c r="AS110" s="105"/>
      <c r="AT110" s="164"/>
      <c r="AU110" s="43"/>
      <c r="AV110" s="43"/>
      <c r="AW110" s="43"/>
      <c r="AX110" s="43"/>
      <c r="AY110" s="44"/>
      <c r="AZ110" s="1"/>
    </row>
    <row r="111" ht="16.5" customHeight="1" outlineLevel="2">
      <c r="A111" s="1"/>
      <c r="B111" s="37">
        <v>0.0</v>
      </c>
      <c r="C111" s="42"/>
      <c r="D111" s="43"/>
      <c r="E111" s="43"/>
      <c r="F111" s="43"/>
      <c r="G111" s="43"/>
      <c r="H111" s="43"/>
      <c r="I111" s="43"/>
      <c r="J111" s="43"/>
      <c r="K111" s="43"/>
      <c r="L111" s="105"/>
      <c r="M111" s="42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105"/>
      <c r="AE111" s="121"/>
      <c r="AF111" s="43"/>
      <c r="AG111" s="43"/>
      <c r="AH111" s="43"/>
      <c r="AI111" s="105"/>
      <c r="AJ111" s="330"/>
      <c r="AK111" s="105"/>
      <c r="AL111" s="331"/>
      <c r="AM111" s="43"/>
      <c r="AN111" s="43"/>
      <c r="AO111" s="105"/>
      <c r="AP111" s="332" t="str">
        <f t="shared" si="5"/>
        <v/>
      </c>
      <c r="AQ111" s="43"/>
      <c r="AR111" s="43"/>
      <c r="AS111" s="105"/>
      <c r="AT111" s="164"/>
      <c r="AU111" s="43"/>
      <c r="AV111" s="43"/>
      <c r="AW111" s="43"/>
      <c r="AX111" s="43"/>
      <c r="AY111" s="44"/>
      <c r="AZ111" s="1"/>
    </row>
    <row r="112" ht="16.5" customHeight="1" outlineLevel="2">
      <c r="A112" s="1"/>
      <c r="B112" s="37">
        <v>0.0</v>
      </c>
      <c r="C112" s="42"/>
      <c r="D112" s="43"/>
      <c r="E112" s="43"/>
      <c r="F112" s="43"/>
      <c r="G112" s="43"/>
      <c r="H112" s="43"/>
      <c r="I112" s="43"/>
      <c r="J112" s="43"/>
      <c r="K112" s="43"/>
      <c r="L112" s="105"/>
      <c r="M112" s="42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105"/>
      <c r="AE112" s="121"/>
      <c r="AF112" s="43"/>
      <c r="AG112" s="43"/>
      <c r="AH112" s="43"/>
      <c r="AI112" s="105"/>
      <c r="AJ112" s="330"/>
      <c r="AK112" s="105"/>
      <c r="AL112" s="331"/>
      <c r="AM112" s="43"/>
      <c r="AN112" s="43"/>
      <c r="AO112" s="105"/>
      <c r="AP112" s="332" t="str">
        <f t="shared" si="5"/>
        <v/>
      </c>
      <c r="AQ112" s="43"/>
      <c r="AR112" s="43"/>
      <c r="AS112" s="105"/>
      <c r="AT112" s="164"/>
      <c r="AU112" s="43"/>
      <c r="AV112" s="43"/>
      <c r="AW112" s="43"/>
      <c r="AX112" s="43"/>
      <c r="AY112" s="44"/>
      <c r="AZ112" s="1"/>
    </row>
    <row r="113" ht="16.5" customHeight="1" outlineLevel="2">
      <c r="A113" s="1"/>
      <c r="B113" s="37">
        <v>0.0</v>
      </c>
      <c r="C113" s="42"/>
      <c r="D113" s="43"/>
      <c r="E113" s="43"/>
      <c r="F113" s="43"/>
      <c r="G113" s="43"/>
      <c r="H113" s="43"/>
      <c r="I113" s="43"/>
      <c r="J113" s="43"/>
      <c r="K113" s="43"/>
      <c r="L113" s="105"/>
      <c r="M113" s="42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105"/>
      <c r="AE113" s="121"/>
      <c r="AF113" s="43"/>
      <c r="AG113" s="43"/>
      <c r="AH113" s="43"/>
      <c r="AI113" s="105"/>
      <c r="AJ113" s="330"/>
      <c r="AK113" s="105"/>
      <c r="AL113" s="331"/>
      <c r="AM113" s="43"/>
      <c r="AN113" s="43"/>
      <c r="AO113" s="105"/>
      <c r="AP113" s="332" t="str">
        <f t="shared" si="5"/>
        <v/>
      </c>
      <c r="AQ113" s="43"/>
      <c r="AR113" s="43"/>
      <c r="AS113" s="105"/>
      <c r="AT113" s="164"/>
      <c r="AU113" s="43"/>
      <c r="AV113" s="43"/>
      <c r="AW113" s="43"/>
      <c r="AX113" s="43"/>
      <c r="AY113" s="44"/>
      <c r="AZ113" s="1"/>
    </row>
    <row r="114" ht="16.5" customHeight="1" outlineLevel="2">
      <c r="A114" s="1"/>
      <c r="B114" s="37">
        <v>0.0</v>
      </c>
      <c r="C114" s="42"/>
      <c r="D114" s="43"/>
      <c r="E114" s="43"/>
      <c r="F114" s="43"/>
      <c r="G114" s="43"/>
      <c r="H114" s="43"/>
      <c r="I114" s="43"/>
      <c r="J114" s="43"/>
      <c r="K114" s="43"/>
      <c r="L114" s="105"/>
      <c r="M114" s="42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105"/>
      <c r="AE114" s="121"/>
      <c r="AF114" s="43"/>
      <c r="AG114" s="43"/>
      <c r="AH114" s="43"/>
      <c r="AI114" s="105"/>
      <c r="AJ114" s="330"/>
      <c r="AK114" s="105"/>
      <c r="AL114" s="331"/>
      <c r="AM114" s="43"/>
      <c r="AN114" s="43"/>
      <c r="AO114" s="105"/>
      <c r="AP114" s="332" t="str">
        <f t="shared" si="5"/>
        <v/>
      </c>
      <c r="AQ114" s="43"/>
      <c r="AR114" s="43"/>
      <c r="AS114" s="105"/>
      <c r="AT114" s="164"/>
      <c r="AU114" s="43"/>
      <c r="AV114" s="43"/>
      <c r="AW114" s="43"/>
      <c r="AX114" s="43"/>
      <c r="AY114" s="44"/>
      <c r="AZ114" s="1"/>
    </row>
    <row r="115" ht="16.5" customHeight="1" outlineLevel="2">
      <c r="A115" s="1"/>
      <c r="B115" s="37">
        <v>0.0</v>
      </c>
      <c r="C115" s="42"/>
      <c r="D115" s="43"/>
      <c r="E115" s="43"/>
      <c r="F115" s="43"/>
      <c r="G115" s="43"/>
      <c r="H115" s="43"/>
      <c r="I115" s="43"/>
      <c r="J115" s="43"/>
      <c r="K115" s="43"/>
      <c r="L115" s="105"/>
      <c r="M115" s="42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105"/>
      <c r="AE115" s="121"/>
      <c r="AF115" s="43"/>
      <c r="AG115" s="43"/>
      <c r="AH115" s="43"/>
      <c r="AI115" s="105"/>
      <c r="AJ115" s="330"/>
      <c r="AK115" s="105"/>
      <c r="AL115" s="331"/>
      <c r="AM115" s="43"/>
      <c r="AN115" s="43"/>
      <c r="AO115" s="105"/>
      <c r="AP115" s="332" t="str">
        <f t="shared" si="5"/>
        <v/>
      </c>
      <c r="AQ115" s="43"/>
      <c r="AR115" s="43"/>
      <c r="AS115" s="105"/>
      <c r="AT115" s="164"/>
      <c r="AU115" s="43"/>
      <c r="AV115" s="43"/>
      <c r="AW115" s="43"/>
      <c r="AX115" s="43"/>
      <c r="AY115" s="44"/>
      <c r="AZ115" s="1"/>
    </row>
    <row r="116" ht="16.5" customHeight="1" outlineLevel="2">
      <c r="A116" s="1"/>
      <c r="B116" s="37">
        <v>0.0</v>
      </c>
      <c r="C116" s="42"/>
      <c r="D116" s="43"/>
      <c r="E116" s="43"/>
      <c r="F116" s="43"/>
      <c r="G116" s="43"/>
      <c r="H116" s="43"/>
      <c r="I116" s="43"/>
      <c r="J116" s="43"/>
      <c r="K116" s="43"/>
      <c r="L116" s="105"/>
      <c r="M116" s="42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105"/>
      <c r="AE116" s="121"/>
      <c r="AF116" s="43"/>
      <c r="AG116" s="43"/>
      <c r="AH116" s="43"/>
      <c r="AI116" s="105"/>
      <c r="AJ116" s="330"/>
      <c r="AK116" s="105"/>
      <c r="AL116" s="331"/>
      <c r="AM116" s="43"/>
      <c r="AN116" s="43"/>
      <c r="AO116" s="105"/>
      <c r="AP116" s="332" t="str">
        <f t="shared" si="5"/>
        <v/>
      </c>
      <c r="AQ116" s="43"/>
      <c r="AR116" s="43"/>
      <c r="AS116" s="105"/>
      <c r="AT116" s="164"/>
      <c r="AU116" s="43"/>
      <c r="AV116" s="43"/>
      <c r="AW116" s="43"/>
      <c r="AX116" s="43"/>
      <c r="AY116" s="44"/>
      <c r="AZ116" s="1"/>
    </row>
    <row r="117" ht="16.5" customHeight="1" outlineLevel="2">
      <c r="A117" s="1"/>
      <c r="B117" s="37">
        <v>0.0</v>
      </c>
      <c r="C117" s="42"/>
      <c r="D117" s="43"/>
      <c r="E117" s="43"/>
      <c r="F117" s="43"/>
      <c r="G117" s="43"/>
      <c r="H117" s="43"/>
      <c r="I117" s="43"/>
      <c r="J117" s="43"/>
      <c r="K117" s="43"/>
      <c r="L117" s="105"/>
      <c r="M117" s="42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105"/>
      <c r="AE117" s="121"/>
      <c r="AF117" s="43"/>
      <c r="AG117" s="43"/>
      <c r="AH117" s="43"/>
      <c r="AI117" s="105"/>
      <c r="AJ117" s="330"/>
      <c r="AK117" s="105"/>
      <c r="AL117" s="331"/>
      <c r="AM117" s="43"/>
      <c r="AN117" s="43"/>
      <c r="AO117" s="105"/>
      <c r="AP117" s="332" t="str">
        <f t="shared" si="5"/>
        <v/>
      </c>
      <c r="AQ117" s="43"/>
      <c r="AR117" s="43"/>
      <c r="AS117" s="105"/>
      <c r="AT117" s="164"/>
      <c r="AU117" s="43"/>
      <c r="AV117" s="43"/>
      <c r="AW117" s="43"/>
      <c r="AX117" s="43"/>
      <c r="AY117" s="44"/>
      <c r="AZ117" s="1"/>
    </row>
    <row r="118" ht="16.5" customHeight="1" outlineLevel="2">
      <c r="A118" s="1"/>
      <c r="B118" s="37">
        <v>0.0</v>
      </c>
      <c r="C118" s="42"/>
      <c r="D118" s="43"/>
      <c r="E118" s="43"/>
      <c r="F118" s="43"/>
      <c r="G118" s="43"/>
      <c r="H118" s="43"/>
      <c r="I118" s="43"/>
      <c r="J118" s="43"/>
      <c r="K118" s="43"/>
      <c r="L118" s="105"/>
      <c r="M118" s="42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105"/>
      <c r="AE118" s="121"/>
      <c r="AF118" s="43"/>
      <c r="AG118" s="43"/>
      <c r="AH118" s="43"/>
      <c r="AI118" s="105"/>
      <c r="AJ118" s="330"/>
      <c r="AK118" s="105"/>
      <c r="AL118" s="331"/>
      <c r="AM118" s="43"/>
      <c r="AN118" s="43"/>
      <c r="AO118" s="105"/>
      <c r="AP118" s="332" t="str">
        <f t="shared" si="5"/>
        <v/>
      </c>
      <c r="AQ118" s="43"/>
      <c r="AR118" s="43"/>
      <c r="AS118" s="105"/>
      <c r="AT118" s="164"/>
      <c r="AU118" s="43"/>
      <c r="AV118" s="43"/>
      <c r="AW118" s="43"/>
      <c r="AX118" s="43"/>
      <c r="AY118" s="44"/>
      <c r="AZ118" s="1"/>
    </row>
    <row r="119" ht="16.5" customHeight="1" outlineLevel="2">
      <c r="A119" s="1"/>
      <c r="B119" s="37">
        <v>0.0</v>
      </c>
      <c r="C119" s="42"/>
      <c r="D119" s="43"/>
      <c r="E119" s="43"/>
      <c r="F119" s="43"/>
      <c r="G119" s="43"/>
      <c r="H119" s="43"/>
      <c r="I119" s="43"/>
      <c r="J119" s="43"/>
      <c r="K119" s="43"/>
      <c r="L119" s="105"/>
      <c r="M119" s="42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105"/>
      <c r="AE119" s="121"/>
      <c r="AF119" s="43"/>
      <c r="AG119" s="43"/>
      <c r="AH119" s="43"/>
      <c r="AI119" s="105"/>
      <c r="AJ119" s="330"/>
      <c r="AK119" s="105"/>
      <c r="AL119" s="331"/>
      <c r="AM119" s="43"/>
      <c r="AN119" s="43"/>
      <c r="AO119" s="105"/>
      <c r="AP119" s="332" t="str">
        <f t="shared" si="5"/>
        <v/>
      </c>
      <c r="AQ119" s="43"/>
      <c r="AR119" s="43"/>
      <c r="AS119" s="105"/>
      <c r="AT119" s="164"/>
      <c r="AU119" s="43"/>
      <c r="AV119" s="43"/>
      <c r="AW119" s="43"/>
      <c r="AX119" s="43"/>
      <c r="AY119" s="44"/>
      <c r="AZ119" s="1"/>
    </row>
    <row r="120" ht="16.5" customHeight="1" outlineLevel="2">
      <c r="A120" s="1"/>
      <c r="B120" s="37">
        <v>0.0</v>
      </c>
      <c r="C120" s="42"/>
      <c r="D120" s="43"/>
      <c r="E120" s="43"/>
      <c r="F120" s="43"/>
      <c r="G120" s="43"/>
      <c r="H120" s="43"/>
      <c r="I120" s="43"/>
      <c r="J120" s="43"/>
      <c r="K120" s="43"/>
      <c r="L120" s="105"/>
      <c r="M120" s="42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105"/>
      <c r="AE120" s="121"/>
      <c r="AF120" s="43"/>
      <c r="AG120" s="43"/>
      <c r="AH120" s="43"/>
      <c r="AI120" s="105"/>
      <c r="AJ120" s="330"/>
      <c r="AK120" s="105"/>
      <c r="AL120" s="331"/>
      <c r="AM120" s="43"/>
      <c r="AN120" s="43"/>
      <c r="AO120" s="105"/>
      <c r="AP120" s="332" t="str">
        <f t="shared" si="5"/>
        <v/>
      </c>
      <c r="AQ120" s="43"/>
      <c r="AR120" s="43"/>
      <c r="AS120" s="105"/>
      <c r="AT120" s="164"/>
      <c r="AU120" s="43"/>
      <c r="AV120" s="43"/>
      <c r="AW120" s="43"/>
      <c r="AX120" s="43"/>
      <c r="AY120" s="44"/>
      <c r="AZ120" s="1"/>
    </row>
    <row r="121" ht="16.5" customHeight="1" outlineLevel="2">
      <c r="A121" s="1"/>
      <c r="B121" s="37">
        <v>0.0</v>
      </c>
      <c r="C121" s="42"/>
      <c r="D121" s="43"/>
      <c r="E121" s="43"/>
      <c r="F121" s="43"/>
      <c r="G121" s="43"/>
      <c r="H121" s="43"/>
      <c r="I121" s="43"/>
      <c r="J121" s="43"/>
      <c r="K121" s="43"/>
      <c r="L121" s="105"/>
      <c r="M121" s="42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105"/>
      <c r="AE121" s="121"/>
      <c r="AF121" s="43"/>
      <c r="AG121" s="43"/>
      <c r="AH121" s="43"/>
      <c r="AI121" s="105"/>
      <c r="AJ121" s="330"/>
      <c r="AK121" s="105"/>
      <c r="AL121" s="331"/>
      <c r="AM121" s="43"/>
      <c r="AN121" s="43"/>
      <c r="AO121" s="105"/>
      <c r="AP121" s="332" t="str">
        <f t="shared" si="5"/>
        <v/>
      </c>
      <c r="AQ121" s="43"/>
      <c r="AR121" s="43"/>
      <c r="AS121" s="105"/>
      <c r="AT121" s="164"/>
      <c r="AU121" s="43"/>
      <c r="AV121" s="43"/>
      <c r="AW121" s="43"/>
      <c r="AX121" s="43"/>
      <c r="AY121" s="44"/>
      <c r="AZ121" s="1"/>
    </row>
    <row r="122" ht="16.5" customHeight="1" outlineLevel="2">
      <c r="A122" s="1"/>
      <c r="B122" s="37">
        <v>0.0</v>
      </c>
      <c r="C122" s="42"/>
      <c r="D122" s="43"/>
      <c r="E122" s="43"/>
      <c r="F122" s="43"/>
      <c r="G122" s="43"/>
      <c r="H122" s="43"/>
      <c r="I122" s="43"/>
      <c r="J122" s="43"/>
      <c r="K122" s="43"/>
      <c r="L122" s="105"/>
      <c r="M122" s="42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105"/>
      <c r="AE122" s="121"/>
      <c r="AF122" s="43"/>
      <c r="AG122" s="43"/>
      <c r="AH122" s="43"/>
      <c r="AI122" s="105"/>
      <c r="AJ122" s="330"/>
      <c r="AK122" s="105"/>
      <c r="AL122" s="331"/>
      <c r="AM122" s="43"/>
      <c r="AN122" s="43"/>
      <c r="AO122" s="105"/>
      <c r="AP122" s="332" t="str">
        <f t="shared" si="5"/>
        <v/>
      </c>
      <c r="AQ122" s="43"/>
      <c r="AR122" s="43"/>
      <c r="AS122" s="105"/>
      <c r="AT122" s="164"/>
      <c r="AU122" s="43"/>
      <c r="AV122" s="43"/>
      <c r="AW122" s="43"/>
      <c r="AX122" s="43"/>
      <c r="AY122" s="44"/>
      <c r="AZ122" s="1"/>
    </row>
    <row r="123" ht="16.5" customHeight="1" outlineLevel="2">
      <c r="A123" s="1"/>
      <c r="B123" s="37">
        <v>0.0</v>
      </c>
      <c r="C123" s="42"/>
      <c r="D123" s="43"/>
      <c r="E123" s="43"/>
      <c r="F123" s="43"/>
      <c r="G123" s="43"/>
      <c r="H123" s="43"/>
      <c r="I123" s="43"/>
      <c r="J123" s="43"/>
      <c r="K123" s="43"/>
      <c r="L123" s="105"/>
      <c r="M123" s="42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105"/>
      <c r="AE123" s="121"/>
      <c r="AF123" s="43"/>
      <c r="AG123" s="43"/>
      <c r="AH123" s="43"/>
      <c r="AI123" s="105"/>
      <c r="AJ123" s="330"/>
      <c r="AK123" s="105"/>
      <c r="AL123" s="331"/>
      <c r="AM123" s="43"/>
      <c r="AN123" s="43"/>
      <c r="AO123" s="105"/>
      <c r="AP123" s="332" t="str">
        <f t="shared" si="5"/>
        <v/>
      </c>
      <c r="AQ123" s="43"/>
      <c r="AR123" s="43"/>
      <c r="AS123" s="105"/>
      <c r="AT123" s="164"/>
      <c r="AU123" s="43"/>
      <c r="AV123" s="43"/>
      <c r="AW123" s="43"/>
      <c r="AX123" s="43"/>
      <c r="AY123" s="44"/>
      <c r="AZ123" s="1"/>
    </row>
    <row r="124" ht="16.5" customHeight="1" outlineLevel="2">
      <c r="A124" s="1"/>
      <c r="B124" s="37">
        <v>0.0</v>
      </c>
      <c r="C124" s="42"/>
      <c r="D124" s="43"/>
      <c r="E124" s="43"/>
      <c r="F124" s="43"/>
      <c r="G124" s="43"/>
      <c r="H124" s="43"/>
      <c r="I124" s="43"/>
      <c r="J124" s="43"/>
      <c r="K124" s="43"/>
      <c r="L124" s="105"/>
      <c r="M124" s="42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105"/>
      <c r="AE124" s="121"/>
      <c r="AF124" s="43"/>
      <c r="AG124" s="43"/>
      <c r="AH124" s="43"/>
      <c r="AI124" s="105"/>
      <c r="AJ124" s="330"/>
      <c r="AK124" s="105"/>
      <c r="AL124" s="331"/>
      <c r="AM124" s="43"/>
      <c r="AN124" s="43"/>
      <c r="AO124" s="105"/>
      <c r="AP124" s="332" t="str">
        <f t="shared" si="5"/>
        <v/>
      </c>
      <c r="AQ124" s="43"/>
      <c r="AR124" s="43"/>
      <c r="AS124" s="105"/>
      <c r="AT124" s="164"/>
      <c r="AU124" s="43"/>
      <c r="AV124" s="43"/>
      <c r="AW124" s="43"/>
      <c r="AX124" s="43"/>
      <c r="AY124" s="44"/>
      <c r="AZ124" s="1"/>
    </row>
    <row r="125" ht="16.5" customHeight="1" outlineLevel="2">
      <c r="A125" s="1"/>
      <c r="B125" s="37">
        <v>0.0</v>
      </c>
      <c r="C125" s="42"/>
      <c r="D125" s="43"/>
      <c r="E125" s="43"/>
      <c r="F125" s="43"/>
      <c r="G125" s="43"/>
      <c r="H125" s="43"/>
      <c r="I125" s="43"/>
      <c r="J125" s="43"/>
      <c r="K125" s="43"/>
      <c r="L125" s="105"/>
      <c r="M125" s="42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105"/>
      <c r="AE125" s="121"/>
      <c r="AF125" s="43"/>
      <c r="AG125" s="43"/>
      <c r="AH125" s="43"/>
      <c r="AI125" s="105"/>
      <c r="AJ125" s="330"/>
      <c r="AK125" s="105"/>
      <c r="AL125" s="331"/>
      <c r="AM125" s="43"/>
      <c r="AN125" s="43"/>
      <c r="AO125" s="105"/>
      <c r="AP125" s="332" t="str">
        <f t="shared" si="5"/>
        <v/>
      </c>
      <c r="AQ125" s="43"/>
      <c r="AR125" s="43"/>
      <c r="AS125" s="105"/>
      <c r="AT125" s="164"/>
      <c r="AU125" s="43"/>
      <c r="AV125" s="43"/>
      <c r="AW125" s="43"/>
      <c r="AX125" s="43"/>
      <c r="AY125" s="44"/>
      <c r="AZ125" s="1"/>
    </row>
    <row r="126" ht="16.5" customHeight="1" outlineLevel="2">
      <c r="A126" s="1"/>
      <c r="B126" s="37">
        <v>0.0</v>
      </c>
      <c r="C126" s="42"/>
      <c r="D126" s="43"/>
      <c r="E126" s="43"/>
      <c r="F126" s="43"/>
      <c r="G126" s="43"/>
      <c r="H126" s="43"/>
      <c r="I126" s="43"/>
      <c r="J126" s="43"/>
      <c r="K126" s="43"/>
      <c r="L126" s="105"/>
      <c r="M126" s="42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105"/>
      <c r="AE126" s="121"/>
      <c r="AF126" s="43"/>
      <c r="AG126" s="43"/>
      <c r="AH126" s="43"/>
      <c r="AI126" s="105"/>
      <c r="AJ126" s="330"/>
      <c r="AK126" s="105"/>
      <c r="AL126" s="331"/>
      <c r="AM126" s="43"/>
      <c r="AN126" s="43"/>
      <c r="AO126" s="105"/>
      <c r="AP126" s="332" t="str">
        <f t="shared" si="5"/>
        <v/>
      </c>
      <c r="AQ126" s="43"/>
      <c r="AR126" s="43"/>
      <c r="AS126" s="105"/>
      <c r="AT126" s="164"/>
      <c r="AU126" s="43"/>
      <c r="AV126" s="43"/>
      <c r="AW126" s="43"/>
      <c r="AX126" s="43"/>
      <c r="AY126" s="44"/>
      <c r="AZ126" s="1"/>
    </row>
    <row r="127" ht="16.5" customHeight="1" outlineLevel="2">
      <c r="A127" s="1"/>
      <c r="B127" s="45">
        <v>0.0</v>
      </c>
      <c r="C127" s="49"/>
      <c r="D127" s="50"/>
      <c r="E127" s="50"/>
      <c r="F127" s="50"/>
      <c r="G127" s="50"/>
      <c r="H127" s="50"/>
      <c r="I127" s="50"/>
      <c r="J127" s="50"/>
      <c r="K127" s="50"/>
      <c r="L127" s="141"/>
      <c r="M127" s="49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141"/>
      <c r="AE127" s="144"/>
      <c r="AF127" s="50"/>
      <c r="AG127" s="50"/>
      <c r="AH127" s="50"/>
      <c r="AI127" s="141"/>
      <c r="AJ127" s="333"/>
      <c r="AK127" s="141"/>
      <c r="AL127" s="334"/>
      <c r="AM127" s="50"/>
      <c r="AN127" s="50"/>
      <c r="AO127" s="141"/>
      <c r="AP127" s="335" t="str">
        <f t="shared" si="5"/>
        <v/>
      </c>
      <c r="AQ127" s="50"/>
      <c r="AR127" s="50"/>
      <c r="AS127" s="141"/>
      <c r="AT127" s="168"/>
      <c r="AU127" s="50"/>
      <c r="AV127" s="50"/>
      <c r="AW127" s="50"/>
      <c r="AX127" s="50"/>
      <c r="AY127" s="51"/>
      <c r="AZ127" s="1"/>
    </row>
    <row r="128" ht="16.5" customHeight="1" outlineLevel="1" collapsed="1">
      <c r="A128" s="1"/>
      <c r="B128" s="95">
        <f>SUM(B98:B127)</f>
        <v>0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62" t="s">
        <v>34</v>
      </c>
      <c r="AN128" s="336" t="str">
        <f>SUMPRODUCT(B98:B127,AP98:AP127)&amp;""</f>
        <v>0</v>
      </c>
      <c r="AO128" s="15"/>
      <c r="AP128" s="15"/>
      <c r="AQ128" s="15"/>
      <c r="AR128" s="15"/>
      <c r="AS128" s="9"/>
      <c r="AT128" s="186">
        <f>SUMPRODUCT(B98:B127,AT98:AT127)</f>
        <v>0</v>
      </c>
      <c r="AU128" s="15"/>
      <c r="AV128" s="15"/>
      <c r="AW128" s="15"/>
      <c r="AX128" s="15"/>
      <c r="AY128" s="9"/>
      <c r="AZ128" s="1"/>
    </row>
    <row r="129" ht="16.5" hidden="1" customHeight="1" outlineLevel="2">
      <c r="A129" s="1"/>
      <c r="B129" s="80" t="s">
        <v>547</v>
      </c>
      <c r="AZ129" s="1"/>
    </row>
    <row r="130" ht="16.5" hidden="1" customHeight="1" outlineLevel="2">
      <c r="A130" s="1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1"/>
    </row>
    <row r="131" ht="16.5" hidden="1" customHeight="1" outlineLevel="2">
      <c r="A131" s="1"/>
      <c r="B131" s="337" t="s">
        <v>293</v>
      </c>
      <c r="C131" s="337" t="s">
        <v>326</v>
      </c>
      <c r="O131" s="338"/>
      <c r="P131" s="337" t="s">
        <v>230</v>
      </c>
      <c r="Q131" s="337" t="s">
        <v>514</v>
      </c>
      <c r="R131" s="337" t="str">
        <f>IF(W5&lt;100,"Firmpoints","Hardpoints")</f>
        <v>Firmpoints</v>
      </c>
      <c r="S131" s="338"/>
      <c r="T131" s="337" t="s">
        <v>143</v>
      </c>
      <c r="AD131" s="338"/>
      <c r="AE131" s="338"/>
      <c r="AF131" s="338"/>
      <c r="AG131" s="338"/>
      <c r="AH131" s="338"/>
      <c r="AI131" s="338"/>
      <c r="AJ131" s="338"/>
      <c r="AK131" s="338"/>
      <c r="AL131" s="338"/>
      <c r="AM131" s="338"/>
      <c r="AN131" s="338"/>
      <c r="AO131" s="338"/>
      <c r="AP131" s="338"/>
      <c r="AQ131" s="338"/>
      <c r="AR131" s="338"/>
      <c r="AS131" s="338"/>
      <c r="AT131" s="338"/>
      <c r="AU131" s="338"/>
      <c r="AV131" s="338"/>
      <c r="AW131" s="338"/>
      <c r="AX131" s="338"/>
      <c r="AY131" s="338"/>
      <c r="AZ131" s="1"/>
    </row>
    <row r="132" ht="16.5" hidden="1" customHeight="1" outlineLevel="2">
      <c r="A132" s="1"/>
      <c r="B132" s="339" t="str">
        <f>S64</f>
        <v/>
      </c>
      <c r="C132" s="340" t="str">
        <f t="array" ref="C132">IF(OR(RIGHT(B132,2)="et",LEFT(B132)="F"),TRANSPOSE(T_ScW_T_N),IF(LEFT(B132)="B",TRANSPOSE(T_ScW_Bar_N),IF(RIGHT(B132)="y",IF(LEFT(B132)="L",TRANSPOSE(T_ScW_BayL_N),TRANSPOSE(T_ScW_Bay_N)),IF(LEFT(B132,2)="Sp",TRANSPOSE(T_ScW_S_N),"--"))))</f>
        <v>--</v>
      </c>
      <c r="D132" s="341"/>
      <c r="E132" s="341"/>
      <c r="F132" s="341"/>
      <c r="G132" s="341"/>
      <c r="H132" s="341"/>
      <c r="I132" s="341"/>
      <c r="J132" s="341"/>
      <c r="K132" s="341"/>
      <c r="L132" s="341"/>
      <c r="M132" s="341"/>
      <c r="N132" s="342"/>
      <c r="O132" s="338"/>
      <c r="P132" s="338" t="str">
        <f>Z65</f>
        <v/>
      </c>
      <c r="Q132" s="343">
        <f>V65</f>
        <v>0</v>
      </c>
      <c r="R132" s="338">
        <f>IFS(OR(B132="",B132="--"),0,LEFT(B132,2)="Sp",Q132/100,AND(RIGHT(B132)="y",LEFT(B132)="L"),5,LEFT(B132,2)="So",0,AND($W$5&lt;100,LEFT(B132)="B"),2,TRUE,1)*T65</f>
        <v>0</v>
      </c>
      <c r="S132" s="338"/>
      <c r="T132" s="344" t="b">
        <f t="shared" ref="T132:T139" si="6">OR(B132="",B132="--")</f>
        <v>1</v>
      </c>
      <c r="U132" s="338" t="str">
        <f>X64</f>
        <v/>
      </c>
      <c r="V132" s="344" t="str">
        <f>AE64</f>
        <v/>
      </c>
      <c r="W132" s="338" t="str">
        <f>AL64</f>
        <v/>
      </c>
      <c r="X132" s="338" t="str">
        <f>AS64</f>
        <v/>
      </c>
      <c r="Y132" s="338">
        <f t="shared" ref="Y132:Y139" si="7">IFS(T132,0,RIGHT(B132,2)="et",IF(LEFT(B132)="Q",2,1),LEFT(B132,2)="So",2000,TRUE,0)</f>
        <v>0</v>
      </c>
      <c r="Z132" s="338">
        <f>IFERROR(IFS(T132,0,OR(RIGHT(B132,2)="et",LEFT(B132)="F"),VLOOKUP(U132,T_ScW_T,2,FALSE),LEFT(B132)="B",VLOOKUP(U132,T_ScW_Bar,2,FALSE),RIGHT(B132)="y",VLOOKUP(U132,T_ScW_Bay,IFS(LEFT(B132)="S",2,LEFT(B132)="M",3,LEFT(B132)="L",4,TRUE,-1),FALSE),LEFT(B132,2)="Sp",MAX(FLOOR(IF(P132&gt;VLOOKUP(U132,T_ScW_S,4,FALSE),Q132/(0.95-(P132-VLOOKUP(U132,T_ScW_S,4,FALSE))*0.05),Q132)/VLOOKUP(U132,T_ScW_S,3,FALSE)),1)*VLOOKUP(U132,T_ScW_S,2,FALSE),TRUE,0),0)</f>
        <v>0</v>
      </c>
      <c r="AA132" s="338">
        <f>IF(AND(RIGHT(B132,2)="et",LEFT(B132)&lt;&gt;"S"),IFERROR(VLOOKUP(IF(V132="",U132,V132),T_ScW_T,2,FALSE),0),0)</f>
        <v>0</v>
      </c>
      <c r="AB132" s="338">
        <f>IF(AND(RIGHT(B132,2)="et",OR(LEFT(B132)="T",LEFT(B132)="Q")),IFERROR(VLOOKUP(IF(W132="",U132,W132),T_ScW_T,2,FALSE),0),0)</f>
        <v>0</v>
      </c>
      <c r="AC132" s="338">
        <f>IF(AND(RIGHT(B132,2)="et",LEFT(B132)="Q"),IFERROR(VLOOKUP(IF(X132="",U132,X132),T_ScW_T,2,FALSE),0),0)</f>
        <v>0</v>
      </c>
      <c r="AD132" s="338"/>
      <c r="AE132" s="338"/>
      <c r="AF132" s="338"/>
      <c r="AG132" s="338"/>
      <c r="AH132" s="338"/>
      <c r="AI132" s="338"/>
      <c r="AJ132" s="338"/>
      <c r="AK132" s="338"/>
      <c r="AL132" s="338"/>
      <c r="AM132" s="338"/>
      <c r="AN132" s="338"/>
      <c r="AO132" s="338"/>
      <c r="AP132" s="338"/>
      <c r="AQ132" s="338"/>
      <c r="AR132" s="338"/>
      <c r="AS132" s="338"/>
      <c r="AT132" s="338"/>
      <c r="AU132" s="338"/>
      <c r="AV132" s="338"/>
      <c r="AW132" s="338"/>
      <c r="AX132" s="338"/>
      <c r="AY132" s="338"/>
      <c r="AZ132" s="1"/>
    </row>
    <row r="133" ht="16.5" hidden="1" customHeight="1" outlineLevel="2">
      <c r="A133" s="1"/>
      <c r="B133" s="339" t="str">
        <f>S68</f>
        <v/>
      </c>
      <c r="C133" s="340" t="str">
        <f t="array" ref="C133">IF(OR(RIGHT(B133,2)="et",LEFT(B133)="F"),TRANSPOSE(T_ScW_T_N),IF(LEFT(B133)="B",TRANSPOSE(T_ScW_Bar_N),IF(RIGHT(B133)="y",IF(LEFT(B133)="L",TRANSPOSE(T_ScW_BayL_N),TRANSPOSE(T_ScW_Bay_N)),IF(LEFT(B133,2)="Sp",TRANSPOSE(T_ScW_S_N),"--"))))</f>
        <v>--</v>
      </c>
      <c r="D133" s="341"/>
      <c r="E133" s="341"/>
      <c r="F133" s="341"/>
      <c r="G133" s="341"/>
      <c r="H133" s="341"/>
      <c r="I133" s="341"/>
      <c r="J133" s="341"/>
      <c r="K133" s="341"/>
      <c r="L133" s="341"/>
      <c r="M133" s="341"/>
      <c r="N133" s="342"/>
      <c r="O133" s="338"/>
      <c r="P133" s="338" t="str">
        <f>Z69</f>
        <v/>
      </c>
      <c r="Q133" s="343">
        <f>V69</f>
        <v>0</v>
      </c>
      <c r="R133" s="338">
        <f>IFS(OR(B133="",B133="--"),0,LEFT(B133,2)="Sp",Q133/100,AND(RIGHT(B133)="y",LEFT(B133)="L"),5,LEFT(B133,2)="So",0,AND($W$5&lt;100,LEFT(B133)="B"),2,TRUE,1)*T69</f>
        <v>0</v>
      </c>
      <c r="S133" s="338"/>
      <c r="T133" s="344" t="b">
        <f t="shared" si="6"/>
        <v>1</v>
      </c>
      <c r="U133" s="338" t="str">
        <f>X68</f>
        <v/>
      </c>
      <c r="V133" s="344" t="str">
        <f>AE68</f>
        <v/>
      </c>
      <c r="W133" s="338" t="str">
        <f>AL68</f>
        <v/>
      </c>
      <c r="X133" s="338" t="str">
        <f>AS68</f>
        <v/>
      </c>
      <c r="Y133" s="338">
        <f t="shared" si="7"/>
        <v>0</v>
      </c>
      <c r="Z133" s="338">
        <f>IFERROR(IFS(T133,0,OR(RIGHT(B133,2)="et",LEFT(B133)="F"),VLOOKUP(U133,T_ScW_T,2,FALSE),LEFT(B133)="B",VLOOKUP(U133,T_ScW_Bar,2,FALSE),RIGHT(B133)="y",VLOOKUP(U133,T_ScW_Bay,IFS(LEFT(B133)="S",2,LEFT(B133)="M",3,LEFT(B133)="L",4,TRUE,-1),FALSE),LEFT(B133,2)="Sp",MAX(FLOOR(IF(P133&gt;VLOOKUP(U133,T_ScW_S,4,FALSE),Q133/(0.95-(P133-VLOOKUP(U133,T_ScW_S,4,FALSE))*0.05),Q133)/VLOOKUP(U133,T_ScW_S,3,FALSE)),1)*VLOOKUP(U133,T_ScW_S,2,FALSE),TRUE,0),0)</f>
        <v>0</v>
      </c>
      <c r="AA133" s="338">
        <f>IF(AND(RIGHT(B133,2)="et",LEFT(B133)&lt;&gt;"S"),IFERROR(VLOOKUP(IF(V133="",U133,V133),T_ScW_T,2,FALSE),0),0)</f>
        <v>0</v>
      </c>
      <c r="AB133" s="338">
        <f>IF(AND(RIGHT(B133,2)="et",OR(LEFT(B133)="T",LEFT(B133)="Q")),IFERROR(VLOOKUP(IF(W133="",U133,W133),T_ScW_T,2,FALSE),0),0)</f>
        <v>0</v>
      </c>
      <c r="AC133" s="338">
        <f>IF(AND(RIGHT(B133,2)="et",LEFT(B133)="Q"),IFERROR(VLOOKUP(IF(X133="",U133,X133),T_ScW_T,2,FALSE),0),0)</f>
        <v>0</v>
      </c>
      <c r="AD133" s="338"/>
      <c r="AE133" s="338"/>
      <c r="AF133" s="338"/>
      <c r="AG133" s="338"/>
      <c r="AH133" s="338"/>
      <c r="AI133" s="338"/>
      <c r="AJ133" s="338"/>
      <c r="AK133" s="338"/>
      <c r="AL133" s="338"/>
      <c r="AM133" s="338"/>
      <c r="AN133" s="338"/>
      <c r="AO133" s="338"/>
      <c r="AP133" s="338"/>
      <c r="AQ133" s="338"/>
      <c r="AR133" s="338"/>
      <c r="AS133" s="338"/>
      <c r="AT133" s="338"/>
      <c r="AU133" s="338"/>
      <c r="AV133" s="338"/>
      <c r="AW133" s="338"/>
      <c r="AX133" s="338"/>
      <c r="AY133" s="338"/>
      <c r="AZ133" s="1"/>
    </row>
    <row r="134" ht="16.5" hidden="1" customHeight="1" outlineLevel="2">
      <c r="A134" s="1"/>
      <c r="B134" s="339" t="str">
        <f>S72</f>
        <v/>
      </c>
      <c r="C134" s="340" t="str">
        <f t="array" ref="C134">IF(OR(RIGHT(B134,2)="et",LEFT(B134)="F"),TRANSPOSE(T_ScW_T_N),IF(LEFT(B134)="B",TRANSPOSE(T_ScW_Bar_N),IF(RIGHT(B134)="y",IF(LEFT(B134)="L",TRANSPOSE(T_ScW_BayL_N),TRANSPOSE(T_ScW_Bay_N)),IF(LEFT(B134,2)="Sp",TRANSPOSE(T_ScW_S_N),"--"))))</f>
        <v>--</v>
      </c>
      <c r="D134" s="341"/>
      <c r="E134" s="341"/>
      <c r="F134" s="341"/>
      <c r="G134" s="341"/>
      <c r="H134" s="341"/>
      <c r="I134" s="341"/>
      <c r="J134" s="341"/>
      <c r="K134" s="341"/>
      <c r="L134" s="341"/>
      <c r="M134" s="341"/>
      <c r="N134" s="342"/>
      <c r="O134" s="338"/>
      <c r="P134" s="338" t="str">
        <f>Z73</f>
        <v/>
      </c>
      <c r="Q134" s="343">
        <f>V73</f>
        <v>0</v>
      </c>
      <c r="R134" s="338">
        <f>IFS(OR(B134="",B134="--"),0,LEFT(B134,2)="Sp",Q134/100,AND(RIGHT(B134)="y",LEFT(B134)="L"),5,LEFT(B134,2)="So",0,AND($W$5&lt;100,LEFT(B134)="B"),2,TRUE,1)*T73</f>
        <v>0</v>
      </c>
      <c r="S134" s="338"/>
      <c r="T134" s="344" t="b">
        <f t="shared" si="6"/>
        <v>1</v>
      </c>
      <c r="U134" s="338" t="str">
        <f>X72</f>
        <v/>
      </c>
      <c r="V134" s="344" t="str">
        <f>AE72</f>
        <v/>
      </c>
      <c r="W134" s="338" t="str">
        <f>AL72</f>
        <v/>
      </c>
      <c r="X134" s="338" t="str">
        <f>AS72</f>
        <v/>
      </c>
      <c r="Y134" s="338">
        <f t="shared" si="7"/>
        <v>0</v>
      </c>
      <c r="Z134" s="338">
        <f>IFERROR(IFS(T134,0,OR(RIGHT(B134,2)="et",LEFT(B134)="F"),VLOOKUP(U134,T_ScW_T,2,FALSE),LEFT(B134)="B",VLOOKUP(U134,T_ScW_Bar,2,FALSE),RIGHT(B134)="y",VLOOKUP(U134,T_ScW_Bay,IFS(LEFT(B134)="S",2,LEFT(B134)="M",3,LEFT(B134)="L",4,TRUE,-1),FALSE),LEFT(B134,2)="Sp",MAX(FLOOR(IF(P134&gt;VLOOKUP(U134,T_ScW_S,4,FALSE),Q134/(0.95-(P134-VLOOKUP(U134,T_ScW_S,4,FALSE))*0.05),Q134)/VLOOKUP(U134,T_ScW_S,3,FALSE)),1)*VLOOKUP(U134,T_ScW_S,2,FALSE),TRUE,0),0)</f>
        <v>0</v>
      </c>
      <c r="AA134" s="338">
        <f>IF(AND(RIGHT(B134,2)="et",LEFT(B134)&lt;&gt;"S"),IFERROR(VLOOKUP(IF(V134="",U134,V134),T_ScW_T,2,FALSE),0),0)</f>
        <v>0</v>
      </c>
      <c r="AB134" s="338">
        <f>IF(AND(RIGHT(B134,2)="et",OR(LEFT(B134)="T",LEFT(B134)="Q")),IFERROR(VLOOKUP(IF(W134="",U134,W134),T_ScW_T,2,FALSE),0),0)</f>
        <v>0</v>
      </c>
      <c r="AC134" s="338">
        <f>IF(AND(RIGHT(B134,2)="et",LEFT(B134)="Q"),IFERROR(VLOOKUP(IF(X134="",U134,X134),T_ScW_T,2,FALSE),0),0)</f>
        <v>0</v>
      </c>
      <c r="AD134" s="338"/>
      <c r="AE134" s="338"/>
      <c r="AF134" s="338"/>
      <c r="AG134" s="338"/>
      <c r="AH134" s="338"/>
      <c r="AI134" s="338"/>
      <c r="AJ134" s="338"/>
      <c r="AK134" s="338"/>
      <c r="AL134" s="338"/>
      <c r="AM134" s="338"/>
      <c r="AN134" s="338"/>
      <c r="AO134" s="338"/>
      <c r="AP134" s="338"/>
      <c r="AQ134" s="338"/>
      <c r="AR134" s="338"/>
      <c r="AS134" s="338"/>
      <c r="AT134" s="338"/>
      <c r="AU134" s="338"/>
      <c r="AV134" s="338"/>
      <c r="AW134" s="338"/>
      <c r="AX134" s="338"/>
      <c r="AY134" s="338"/>
      <c r="AZ134" s="1"/>
    </row>
    <row r="135" ht="16.5" hidden="1" customHeight="1" outlineLevel="2">
      <c r="A135" s="1"/>
      <c r="B135" s="339" t="str">
        <f>S76</f>
        <v/>
      </c>
      <c r="C135" s="340" t="str">
        <f t="array" ref="C135">IF(OR(RIGHT(B135,2)="et",LEFT(B135)="F"),TRANSPOSE(T_ScW_T_N),IF(LEFT(B135)="B",TRANSPOSE(T_ScW_Bar_N),IF(RIGHT(B135)="y",IF(LEFT(B135)="L",TRANSPOSE(T_ScW_BayL_N),TRANSPOSE(T_ScW_Bay_N)),IF(LEFT(B135,2)="Sp",TRANSPOSE(T_ScW_S_N),"--"))))</f>
        <v>--</v>
      </c>
      <c r="D135" s="341"/>
      <c r="E135" s="341"/>
      <c r="F135" s="341"/>
      <c r="G135" s="341"/>
      <c r="H135" s="341"/>
      <c r="I135" s="341"/>
      <c r="J135" s="341"/>
      <c r="K135" s="341"/>
      <c r="L135" s="341"/>
      <c r="M135" s="341"/>
      <c r="N135" s="342"/>
      <c r="O135" s="338"/>
      <c r="P135" s="338" t="str">
        <f>Z77</f>
        <v/>
      </c>
      <c r="Q135" s="345">
        <f>V77</f>
        <v>0</v>
      </c>
      <c r="R135" s="338">
        <f>IFS(OR(B135="",B135="--"),0,LEFT(B135,2)="Sp",Q135/100,AND(RIGHT(B135)="y",LEFT(B135)="L"),5,LEFT(B135,2)="So",0,AND($W$5&lt;100,LEFT(B135)="B"),2,TRUE,1)*T77</f>
        <v>0</v>
      </c>
      <c r="S135" s="338"/>
      <c r="T135" s="344" t="b">
        <f t="shared" si="6"/>
        <v>1</v>
      </c>
      <c r="U135" s="338" t="str">
        <f>X76</f>
        <v/>
      </c>
      <c r="V135" s="344" t="str">
        <f>AE76</f>
        <v/>
      </c>
      <c r="W135" s="338" t="str">
        <f>AL76</f>
        <v/>
      </c>
      <c r="X135" s="338" t="str">
        <f>AS76</f>
        <v/>
      </c>
      <c r="Y135" s="338">
        <f t="shared" si="7"/>
        <v>0</v>
      </c>
      <c r="Z135" s="338">
        <f>IFERROR(IFS(T135,0,OR(RIGHT(B135,2)="et",LEFT(B135)="F"),VLOOKUP(U135,T_ScW_T,2,FALSE),LEFT(B135)="B",VLOOKUP(U135,T_ScW_Bar,2,FALSE),RIGHT(B135)="y",VLOOKUP(U135,T_ScW_Bay,IFS(LEFT(B135)="S",2,LEFT(B135)="M",3,LEFT(B135)="L",4,TRUE,-1),FALSE),LEFT(B135,2)="Sp",MAX(FLOOR(IF(P135&gt;VLOOKUP(U135,T_ScW_S,4,FALSE),Q135/(0.95-(P135-VLOOKUP(U135,T_ScW_S,4,FALSE))*0.05),Q135)/VLOOKUP(U135,T_ScW_S,3,FALSE)),1)*VLOOKUP(U135,T_ScW_S,2,FALSE),TRUE,0),0)</f>
        <v>0</v>
      </c>
      <c r="AA135" s="338">
        <f>IF(AND(RIGHT(B135,2)="et",LEFT(B135)&lt;&gt;"S"),IFERROR(VLOOKUP(IF(V135="",U135,V135),T_ScW_T,2,FALSE),0),0)</f>
        <v>0</v>
      </c>
      <c r="AB135" s="338">
        <f>IF(AND(RIGHT(B135,2)="et",OR(LEFT(B135)="T",LEFT(B135)="Q")),IFERROR(VLOOKUP(IF(W135="",U135,W135),T_ScW_T,2,FALSE),0),0)</f>
        <v>0</v>
      </c>
      <c r="AC135" s="338">
        <f>IF(AND(RIGHT(B135,2)="et",LEFT(B135)="Q"),IFERROR(VLOOKUP(IF(X135="",U135,X135),T_ScW_T,2,FALSE),0),0)</f>
        <v>0</v>
      </c>
      <c r="AD135" s="338"/>
      <c r="AE135" s="338"/>
      <c r="AF135" s="338"/>
      <c r="AG135" s="338"/>
      <c r="AH135" s="338"/>
      <c r="AI135" s="338"/>
      <c r="AJ135" s="338"/>
      <c r="AK135" s="338"/>
      <c r="AL135" s="338"/>
      <c r="AM135" s="338"/>
      <c r="AN135" s="338"/>
      <c r="AO135" s="338"/>
      <c r="AP135" s="338"/>
      <c r="AQ135" s="338"/>
      <c r="AR135" s="338"/>
      <c r="AS135" s="338"/>
      <c r="AT135" s="338"/>
      <c r="AU135" s="338"/>
      <c r="AV135" s="338"/>
      <c r="AW135" s="338"/>
      <c r="AX135" s="338"/>
      <c r="AY135" s="338"/>
      <c r="AZ135" s="1"/>
    </row>
    <row r="136" ht="16.5" hidden="1" customHeight="1" outlineLevel="2">
      <c r="A136" s="1"/>
      <c r="B136" s="339" t="str">
        <f>S80</f>
        <v/>
      </c>
      <c r="C136" s="340" t="str">
        <f t="array" ref="C136">IF(OR(RIGHT(B136,2)="et",LEFT(B136)="F"),TRANSPOSE(T_ScW_T_N),IF(LEFT(B136)="B",TRANSPOSE(T_ScW_Bar_N),IF(RIGHT(B136)="y",IF(LEFT(B136)="L",TRANSPOSE(T_ScW_BayL_N),TRANSPOSE(T_ScW_Bay_N)),IF(LEFT(B136,2)="Sp",TRANSPOSE(T_ScW_S_N),"--"))))</f>
        <v>--</v>
      </c>
      <c r="D136" s="341"/>
      <c r="E136" s="341"/>
      <c r="F136" s="341"/>
      <c r="G136" s="341"/>
      <c r="H136" s="341"/>
      <c r="I136" s="341"/>
      <c r="J136" s="341"/>
      <c r="K136" s="341"/>
      <c r="L136" s="341"/>
      <c r="M136" s="341"/>
      <c r="N136" s="342"/>
      <c r="O136" s="338"/>
      <c r="P136" s="338" t="str">
        <f>Z81</f>
        <v/>
      </c>
      <c r="Q136" s="345">
        <f>V81</f>
        <v>0</v>
      </c>
      <c r="R136" s="338">
        <f>IFS(OR(B136="",B136="--"),0,LEFT(B136,2)="Sp",Q136/100,AND(RIGHT(B136)="y",LEFT(B136)="L"),5,LEFT(B136,2)="So",0,AND($W$5&lt;100,LEFT(B136)="B"),2,TRUE,1)*T81</f>
        <v>0</v>
      </c>
      <c r="S136" s="338"/>
      <c r="T136" s="344" t="b">
        <f t="shared" si="6"/>
        <v>1</v>
      </c>
      <c r="U136" s="338" t="str">
        <f>X80</f>
        <v/>
      </c>
      <c r="V136" s="344" t="str">
        <f>AE80</f>
        <v/>
      </c>
      <c r="W136" s="338" t="str">
        <f>AL80</f>
        <v/>
      </c>
      <c r="X136" s="338" t="str">
        <f>AS80</f>
        <v/>
      </c>
      <c r="Y136" s="338">
        <f t="shared" si="7"/>
        <v>0</v>
      </c>
      <c r="Z136" s="338">
        <f>IFERROR(IFS(T136,0,OR(RIGHT(B136,2)="et",LEFT(B136)="F"),VLOOKUP(U136,T_ScW_T,2,FALSE),LEFT(B136)="B",VLOOKUP(U136,T_ScW_Bar,2,FALSE),RIGHT(B136)="y",VLOOKUP(U136,T_ScW_Bay,IFS(LEFT(B136)="S",2,LEFT(B136)="M",3,LEFT(B136)="L",4,TRUE,-1),FALSE),LEFT(B136,2)="Sp",MAX(FLOOR(IF(P136&gt;VLOOKUP(U136,T_ScW_S,4,FALSE),Q136/(0.95-(P136-VLOOKUP(U136,T_ScW_S,4,FALSE))*0.05),Q136)/VLOOKUP(U136,T_ScW_S,3,FALSE)),1)*VLOOKUP(U136,T_ScW_S,2,FALSE),TRUE,0),0)</f>
        <v>0</v>
      </c>
      <c r="AA136" s="338">
        <f>IF(AND(RIGHT(B136,2)="et",LEFT(B136)&lt;&gt;"S"),IFERROR(VLOOKUP(IF(V136="",U136,V136),T_ScW_T,2,FALSE),0),0)</f>
        <v>0</v>
      </c>
      <c r="AB136" s="338">
        <f>IF(AND(RIGHT(B136,2)="et",OR(LEFT(B136)="T",LEFT(B136)="Q")),IFERROR(VLOOKUP(IF(W136="",U136,W136),T_ScW_T,2,FALSE),0),0)</f>
        <v>0</v>
      </c>
      <c r="AC136" s="338">
        <f>IF(AND(RIGHT(B136,2)="et",LEFT(B136)="Q"),IFERROR(VLOOKUP(IF(X136="",U136,X136),T_ScW_T,2,FALSE),0),0)</f>
        <v>0</v>
      </c>
      <c r="AD136" s="338"/>
      <c r="AE136" s="338"/>
      <c r="AF136" s="338"/>
      <c r="AG136" s="338"/>
      <c r="AH136" s="338"/>
      <c r="AI136" s="338"/>
      <c r="AJ136" s="338"/>
      <c r="AK136" s="338"/>
      <c r="AL136" s="338"/>
      <c r="AM136" s="338"/>
      <c r="AN136" s="338"/>
      <c r="AO136" s="338"/>
      <c r="AP136" s="338"/>
      <c r="AQ136" s="338"/>
      <c r="AR136" s="338"/>
      <c r="AS136" s="338"/>
      <c r="AT136" s="338"/>
      <c r="AU136" s="338"/>
      <c r="AV136" s="338"/>
      <c r="AW136" s="338"/>
      <c r="AX136" s="338"/>
      <c r="AY136" s="338"/>
      <c r="AZ136" s="1"/>
    </row>
    <row r="137" ht="16.5" hidden="1" customHeight="1" outlineLevel="2">
      <c r="A137" s="1"/>
      <c r="B137" s="339" t="str">
        <f>S84</f>
        <v/>
      </c>
      <c r="C137" s="340" t="str">
        <f t="array" ref="C137">IF(OR(RIGHT(B137,2)="et",LEFT(B137)="F"),TRANSPOSE(T_ScW_T_N),IF(LEFT(B137)="B",TRANSPOSE(T_ScW_Bar_N),IF(RIGHT(B137)="y",IF(LEFT(B137)="L",TRANSPOSE(T_ScW_BayL_N),TRANSPOSE(T_ScW_Bay_N)),IF(LEFT(B137,2)="Sp",TRANSPOSE(T_ScW_S_N),"--"))))</f>
        <v>--</v>
      </c>
      <c r="D137" s="341"/>
      <c r="E137" s="341"/>
      <c r="F137" s="346"/>
      <c r="G137" s="341"/>
      <c r="H137" s="341"/>
      <c r="I137" s="341"/>
      <c r="J137" s="341"/>
      <c r="K137" s="341"/>
      <c r="L137" s="341"/>
      <c r="M137" s="341"/>
      <c r="N137" s="342"/>
      <c r="O137" s="338"/>
      <c r="P137" s="338" t="str">
        <f>Z85</f>
        <v/>
      </c>
      <c r="Q137" s="345">
        <f>V85</f>
        <v>0</v>
      </c>
      <c r="R137" s="338">
        <f>IFS(OR(B137="",B137="--"),0,LEFT(B137,2)="Sp",Q137/100,AND(RIGHT(B137)="y",LEFT(B137)="L"),5,LEFT(B137,2)="So",0,AND($W$5&lt;100,LEFT(B137)="B"),2,TRUE,1)*T85</f>
        <v>0</v>
      </c>
      <c r="S137" s="338"/>
      <c r="T137" s="344" t="b">
        <f t="shared" si="6"/>
        <v>1</v>
      </c>
      <c r="U137" s="338" t="str">
        <f>X84</f>
        <v/>
      </c>
      <c r="V137" s="344" t="str">
        <f>AE84</f>
        <v/>
      </c>
      <c r="W137" s="338" t="str">
        <f>AL84</f>
        <v/>
      </c>
      <c r="X137" s="338" t="str">
        <f>AS84</f>
        <v/>
      </c>
      <c r="Y137" s="338">
        <f t="shared" si="7"/>
        <v>0</v>
      </c>
      <c r="Z137" s="338">
        <f>IFERROR(IFS(T137,0,OR(RIGHT(B137,2)="et",LEFT(B137)="F"),VLOOKUP(U137,T_ScW_T,2,FALSE),LEFT(B137)="B",VLOOKUP(U137,T_ScW_Bar,2,FALSE),RIGHT(B137)="y",VLOOKUP(U137,T_ScW_Bay,IFS(LEFT(B137)="S",2,LEFT(B137)="M",3,LEFT(B137)="L",4,TRUE,-1),FALSE),LEFT(B137,2)="Sp",MAX(FLOOR(IF(P137&gt;VLOOKUP(U137,T_ScW_S,4,FALSE),Q137/(0.95-(P137-VLOOKUP(U137,T_ScW_S,4,FALSE))*0.05),Q137)/VLOOKUP(U137,T_ScW_S,3,FALSE)),1)*VLOOKUP(U137,T_ScW_S,2,FALSE),TRUE,0),0)</f>
        <v>0</v>
      </c>
      <c r="AA137" s="338">
        <f>IF(AND(RIGHT(B137,2)="et",LEFT(B137)&lt;&gt;"S"),IFERROR(VLOOKUP(IF(V137="",U137,V137),T_ScW_T,2,FALSE),0),0)</f>
        <v>0</v>
      </c>
      <c r="AB137" s="338">
        <f>IF(AND(RIGHT(B137,2)="et",OR(LEFT(B137)="T",LEFT(B137)="Q")),IFERROR(VLOOKUP(IF(W137="",U137,W137),T_ScW_T,2,FALSE),0),0)</f>
        <v>0</v>
      </c>
      <c r="AC137" s="338">
        <f>IF(AND(RIGHT(B137,2)="et",LEFT(B137)="Q"),IFERROR(VLOOKUP(IF(X137="",U137,X137),T_ScW_T,2,FALSE),0),0)</f>
        <v>0</v>
      </c>
      <c r="AD137" s="338"/>
      <c r="AE137" s="338"/>
      <c r="AF137" s="338"/>
      <c r="AG137" s="338"/>
      <c r="AH137" s="338"/>
      <c r="AI137" s="338"/>
      <c r="AJ137" s="338"/>
      <c r="AK137" s="338"/>
      <c r="AL137" s="338"/>
      <c r="AM137" s="338"/>
      <c r="AN137" s="338"/>
      <c r="AO137" s="338"/>
      <c r="AP137" s="338"/>
      <c r="AQ137" s="338"/>
      <c r="AR137" s="338"/>
      <c r="AS137" s="338"/>
      <c r="AT137" s="338"/>
      <c r="AU137" s="338"/>
      <c r="AV137" s="338"/>
      <c r="AW137" s="338"/>
      <c r="AX137" s="338"/>
      <c r="AY137" s="338"/>
      <c r="AZ137" s="1"/>
    </row>
    <row r="138" ht="16.5" hidden="1" customHeight="1" outlineLevel="2">
      <c r="A138" s="1"/>
      <c r="B138" s="339" t="str">
        <f>S88</f>
        <v/>
      </c>
      <c r="C138" s="340" t="str">
        <f t="array" ref="C138">IF(OR(RIGHT(B138,2)="et",LEFT(B138)="F"),TRANSPOSE(T_ScW_T_N),IF(LEFT(B138)="B",TRANSPOSE(T_ScW_Bar_N),IF(RIGHT(B138)="y",IF(LEFT(B138)="L",TRANSPOSE(T_ScW_BayL_N),TRANSPOSE(T_ScW_Bay_N)),IF(LEFT(B138,2)="Sp",TRANSPOSE(T_ScW_S_N),"--"))))</f>
        <v>--</v>
      </c>
      <c r="D138" s="341"/>
      <c r="E138" s="341"/>
      <c r="F138" s="341"/>
      <c r="G138" s="341"/>
      <c r="H138" s="341"/>
      <c r="I138" s="341"/>
      <c r="J138" s="341"/>
      <c r="K138" s="341"/>
      <c r="L138" s="341"/>
      <c r="M138" s="341"/>
      <c r="N138" s="342"/>
      <c r="O138" s="338"/>
      <c r="P138" s="338" t="str">
        <f>Z89</f>
        <v/>
      </c>
      <c r="Q138" s="345">
        <f>V89</f>
        <v>0</v>
      </c>
      <c r="R138" s="338">
        <f>IFS(OR(B138="",B138="--"),0,LEFT(B138,2)="Sp",Q138/100,AND(RIGHT(B138)="y",LEFT(B138)="L"),5,LEFT(B138,2)="So",0,AND($W$5&lt;100,LEFT(B138)="B"),2,TRUE,1)*T89</f>
        <v>0</v>
      </c>
      <c r="S138" s="338"/>
      <c r="T138" s="344" t="b">
        <f t="shared" si="6"/>
        <v>1</v>
      </c>
      <c r="U138" s="338" t="str">
        <f>X88</f>
        <v/>
      </c>
      <c r="V138" s="344" t="str">
        <f>AE88</f>
        <v/>
      </c>
      <c r="W138" s="338" t="str">
        <f>AL88</f>
        <v/>
      </c>
      <c r="X138" s="338" t="str">
        <f>AS88</f>
        <v/>
      </c>
      <c r="Y138" s="338">
        <f t="shared" si="7"/>
        <v>0</v>
      </c>
      <c r="Z138" s="338">
        <f>IFERROR(IFS(T138,0,OR(RIGHT(B138,2)="et",LEFT(B138)="F"),VLOOKUP(U138,T_ScW_T,2,FALSE),LEFT(B138)="B",VLOOKUP(U138,T_ScW_Bar,2,FALSE),RIGHT(B138)="y",VLOOKUP(U138,T_ScW_Bay,IFS(LEFT(B138)="S",2,LEFT(B138)="M",3,LEFT(B138)="L",4,TRUE,-1),FALSE),LEFT(B138,2)="Sp",MAX(FLOOR(IF(P138&gt;VLOOKUP(U138,T_ScW_S,4,FALSE),Q138/(0.95-(P138-VLOOKUP(U138,T_ScW_S,4,FALSE))*0.05),Q138)/VLOOKUP(U138,T_ScW_S,3,FALSE)),1)*VLOOKUP(U138,T_ScW_S,2,FALSE),TRUE,0),0)</f>
        <v>0</v>
      </c>
      <c r="AA138" s="338">
        <f>IF(AND(RIGHT(B138,2)="et",LEFT(B138)&lt;&gt;"S"),IFERROR(VLOOKUP(IF(V138="",U138,V138),T_ScW_T,2,FALSE),0),0)</f>
        <v>0</v>
      </c>
      <c r="AB138" s="338">
        <f>IF(AND(RIGHT(B138,2)="et",OR(LEFT(B138)="T",LEFT(B138)="Q")),IFERROR(VLOOKUP(IF(W138="",U138,W138),T_ScW_T,2,FALSE),0),0)</f>
        <v>0</v>
      </c>
      <c r="AC138" s="338">
        <f>IF(AND(RIGHT(B138,2)="et",LEFT(B138)="Q"),IFERROR(VLOOKUP(IF(X138="",U138,X138),T_ScW_T,2,FALSE),0),0)</f>
        <v>0</v>
      </c>
      <c r="AD138" s="338"/>
      <c r="AE138" s="338"/>
      <c r="AF138" s="338"/>
      <c r="AG138" s="338"/>
      <c r="AH138" s="338"/>
      <c r="AI138" s="338"/>
      <c r="AJ138" s="338"/>
      <c r="AK138" s="338"/>
      <c r="AL138" s="338"/>
      <c r="AM138" s="338"/>
      <c r="AN138" s="338"/>
      <c r="AO138" s="338"/>
      <c r="AP138" s="338"/>
      <c r="AQ138" s="338"/>
      <c r="AR138" s="338"/>
      <c r="AS138" s="338"/>
      <c r="AT138" s="338"/>
      <c r="AU138" s="338"/>
      <c r="AV138" s="338"/>
      <c r="AW138" s="338"/>
      <c r="AX138" s="338"/>
      <c r="AY138" s="338"/>
      <c r="AZ138" s="1"/>
    </row>
    <row r="139" ht="16.5" hidden="1" customHeight="1" outlineLevel="2">
      <c r="A139" s="1"/>
      <c r="B139" s="339" t="str">
        <f>S92</f>
        <v>--</v>
      </c>
      <c r="C139" s="340" t="str">
        <f t="array" ref="C139">IF(OR(RIGHT(B139,2)="et",LEFT(B139)="F"),TRANSPOSE(T_ScW_T_N),IF(LEFT(B139)="B",TRANSPOSE(T_ScW_Bar_N),IF(RIGHT(B139)="y",IF(LEFT(B139)="L",TRANSPOSE(T_ScW_BayL_N),TRANSPOSE(T_ScW_Bay_N)),IF(LEFT(B139,2)="Sp",TRANSPOSE(T_ScW_S_N),"--"))))</f>
        <v>--</v>
      </c>
      <c r="D139" s="341"/>
      <c r="E139" s="341"/>
      <c r="F139" s="341"/>
      <c r="G139" s="341"/>
      <c r="H139" s="341"/>
      <c r="I139" s="341"/>
      <c r="J139" s="341"/>
      <c r="K139" s="341"/>
      <c r="L139" s="341"/>
      <c r="M139" s="341"/>
      <c r="N139" s="342"/>
      <c r="O139" s="338"/>
      <c r="P139" s="338" t="str">
        <f>Z93</f>
        <v/>
      </c>
      <c r="Q139" s="343">
        <f>V93</f>
        <v>0</v>
      </c>
      <c r="R139" s="338">
        <f>IFS(OR(B139="",B139="--"),0,LEFT(B139,2)="Sp",Q139/100,AND(RIGHT(B139)="y",LEFT(B139)="L"),5,LEFT(B139,2)="So",0,AND($W$5&lt;100,LEFT(B139)="B"),2,TRUE,1)*T93</f>
        <v>0</v>
      </c>
      <c r="S139" s="338"/>
      <c r="T139" s="344" t="b">
        <f t="shared" si="6"/>
        <v>1</v>
      </c>
      <c r="U139" s="338" t="str">
        <f>X92</f>
        <v/>
      </c>
      <c r="V139" s="344" t="str">
        <f>AE92</f>
        <v/>
      </c>
      <c r="W139" s="338" t="str">
        <f>AL92</f>
        <v/>
      </c>
      <c r="X139" s="338" t="str">
        <f>AS92</f>
        <v/>
      </c>
      <c r="Y139" s="338">
        <f t="shared" si="7"/>
        <v>0</v>
      </c>
      <c r="Z139" s="338">
        <f>IFERROR(IFS(T139,0,OR(RIGHT(B139,2)="et",LEFT(B139)="F"),VLOOKUP(U139,T_ScW_T,2,FALSE),LEFT(B139)="B",VLOOKUP(U139,T_ScW_Bar,2,FALSE),RIGHT(B139)="y",VLOOKUP(U139,T_ScW_Bay,IFS(LEFT(B139)="S",2,LEFT(B139)="M",3,LEFT(B139)="L",4,TRUE,-1),FALSE),LEFT(B139,2)="Sp",MAX(FLOOR(IF(P139&gt;VLOOKUP(U139,T_ScW_S,4,FALSE),Q139/(0.95-(P139-VLOOKUP(U139,T_ScW_S,4,FALSE))*0.05),Q139)/VLOOKUP(U139,T_ScW_S,3,FALSE)),1)*VLOOKUP(U139,T_ScW_S,2,FALSE),TRUE,0),0)</f>
        <v>0</v>
      </c>
      <c r="AA139" s="338">
        <f>IF(AND(RIGHT(B139,2)="et",LEFT(B139)&lt;&gt;"S"),IFERROR(VLOOKUP(IF(V139="",U139,V139),T_ScW_T,2,FALSE),0),0)</f>
        <v>0</v>
      </c>
      <c r="AB139" s="338">
        <f>IF(AND(RIGHT(B139,2)="et",OR(LEFT(B139)="T",LEFT(B139)="Q")),IFERROR(VLOOKUP(IF(W139="",U139,W139),T_ScW_T,2,FALSE),0),0)</f>
        <v>0</v>
      </c>
      <c r="AC139" s="338">
        <f>IF(AND(RIGHT(B139,2)="et",LEFT(B139)="Q"),IFERROR(VLOOKUP(IF(X139="",U139,X139),T_ScW_T,2,FALSE),0),0)</f>
        <v>0</v>
      </c>
      <c r="AD139" s="338"/>
      <c r="AE139" s="338"/>
      <c r="AF139" s="338"/>
      <c r="AG139" s="338"/>
      <c r="AH139" s="338"/>
      <c r="AI139" s="338"/>
      <c r="AJ139" s="338"/>
      <c r="AK139" s="338"/>
      <c r="AL139" s="338"/>
      <c r="AM139" s="338"/>
      <c r="AN139" s="338"/>
      <c r="AO139" s="338"/>
      <c r="AP139" s="338"/>
      <c r="AQ139" s="338"/>
      <c r="AR139" s="338"/>
      <c r="AS139" s="338"/>
      <c r="AT139" s="338"/>
      <c r="AU139" s="338"/>
      <c r="AV139" s="338"/>
      <c r="AW139" s="338"/>
      <c r="AX139" s="338"/>
      <c r="AY139" s="338"/>
      <c r="AZ139" s="1"/>
    </row>
    <row r="140" ht="6.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</sheetData>
  <mergeCells count="861">
    <mergeCell ref="S8:V8"/>
    <mergeCell ref="S9:Y9"/>
    <mergeCell ref="W11:X11"/>
    <mergeCell ref="Y11:Z11"/>
    <mergeCell ref="AT11:AU11"/>
    <mergeCell ref="AV11:AW11"/>
    <mergeCell ref="W8:Z8"/>
    <mergeCell ref="AA8:AD8"/>
    <mergeCell ref="AJ8:AS8"/>
    <mergeCell ref="AT8:AU8"/>
    <mergeCell ref="AV8:AW8"/>
    <mergeCell ref="AJ9:AY10"/>
    <mergeCell ref="AA10:AG10"/>
    <mergeCell ref="B1:AY1"/>
    <mergeCell ref="B2:AY2"/>
    <mergeCell ref="B3:G3"/>
    <mergeCell ref="H3:Q3"/>
    <mergeCell ref="S3:AH4"/>
    <mergeCell ref="AJ3:AY4"/>
    <mergeCell ref="H4:Q4"/>
    <mergeCell ref="AT5:AV5"/>
    <mergeCell ref="AW5:AY5"/>
    <mergeCell ref="AT7:AU7"/>
    <mergeCell ref="AV7:AW7"/>
    <mergeCell ref="B4:G4"/>
    <mergeCell ref="B5:G5"/>
    <mergeCell ref="H5:Q5"/>
    <mergeCell ref="S5:V5"/>
    <mergeCell ref="W5:Z5"/>
    <mergeCell ref="AJ5:AM5"/>
    <mergeCell ref="AN5:AS5"/>
    <mergeCell ref="B6:G6"/>
    <mergeCell ref="H6:N6"/>
    <mergeCell ref="S6:V6"/>
    <mergeCell ref="W6:Z6"/>
    <mergeCell ref="AF6:AH6"/>
    <mergeCell ref="AJ6:AR6"/>
    <mergeCell ref="AT6:AX6"/>
    <mergeCell ref="B7:G7"/>
    <mergeCell ref="H7:N7"/>
    <mergeCell ref="S7:X7"/>
    <mergeCell ref="Y7:AE7"/>
    <mergeCell ref="AF7:AH7"/>
    <mergeCell ref="AE8:AH8"/>
    <mergeCell ref="AA9:AG9"/>
    <mergeCell ref="AP11:AQ11"/>
    <mergeCell ref="AR11:AS11"/>
    <mergeCell ref="B8:Q9"/>
    <mergeCell ref="B10:G10"/>
    <mergeCell ref="H10:I10"/>
    <mergeCell ref="K10:Q10"/>
    <mergeCell ref="B11:G11"/>
    <mergeCell ref="H11:I11"/>
    <mergeCell ref="J11:N11"/>
    <mergeCell ref="J16:Q16"/>
    <mergeCell ref="S16:Z16"/>
    <mergeCell ref="AA16:AH16"/>
    <mergeCell ref="AJ16:AN16"/>
    <mergeCell ref="AP16:AQ16"/>
    <mergeCell ref="AR16:AV16"/>
    <mergeCell ref="AX16:AY16"/>
    <mergeCell ref="F16:I16"/>
    <mergeCell ref="B17:E17"/>
    <mergeCell ref="F17:I17"/>
    <mergeCell ref="J17:M17"/>
    <mergeCell ref="N17:Q17"/>
    <mergeCell ref="S17:Z17"/>
    <mergeCell ref="AA17:AH17"/>
    <mergeCell ref="AR19:AV19"/>
    <mergeCell ref="AX19:AY19"/>
    <mergeCell ref="B18:E18"/>
    <mergeCell ref="F18:I18"/>
    <mergeCell ref="J18:M18"/>
    <mergeCell ref="N18:Q18"/>
    <mergeCell ref="S18:AH19"/>
    <mergeCell ref="AJ19:AN19"/>
    <mergeCell ref="AP19:AQ19"/>
    <mergeCell ref="J20:P20"/>
    <mergeCell ref="S20:Z20"/>
    <mergeCell ref="AA20:AH20"/>
    <mergeCell ref="AJ20:AN20"/>
    <mergeCell ref="AP20:AQ20"/>
    <mergeCell ref="AR20:AV20"/>
    <mergeCell ref="AX20:AY20"/>
    <mergeCell ref="B20:H20"/>
    <mergeCell ref="B21:F21"/>
    <mergeCell ref="G21:I21"/>
    <mergeCell ref="J21:Q21"/>
    <mergeCell ref="S21:Z21"/>
    <mergeCell ref="AA21:AH21"/>
    <mergeCell ref="AJ21:AN21"/>
    <mergeCell ref="AX21:AY21"/>
    <mergeCell ref="B12:G12"/>
    <mergeCell ref="H12:I12"/>
    <mergeCell ref="S12:V12"/>
    <mergeCell ref="W12:X12"/>
    <mergeCell ref="Y12:Z12"/>
    <mergeCell ref="AA12:AF12"/>
    <mergeCell ref="AG12:AH12"/>
    <mergeCell ref="AV14:AW14"/>
    <mergeCell ref="AX14:AY14"/>
    <mergeCell ref="AJ12:AO12"/>
    <mergeCell ref="AP12:AQ12"/>
    <mergeCell ref="AR12:AS12"/>
    <mergeCell ref="AT12:AU12"/>
    <mergeCell ref="AV12:AW12"/>
    <mergeCell ref="AX12:AY13"/>
    <mergeCell ref="AP14:AU14"/>
    <mergeCell ref="S15:Z15"/>
    <mergeCell ref="AA15:AH15"/>
    <mergeCell ref="AP15:AQ15"/>
    <mergeCell ref="AR15:AV15"/>
    <mergeCell ref="AX15:AY15"/>
    <mergeCell ref="B13:I13"/>
    <mergeCell ref="J13:K13"/>
    <mergeCell ref="N13:P13"/>
    <mergeCell ref="AA13:AB13"/>
    <mergeCell ref="AC13:AH13"/>
    <mergeCell ref="B14:Q15"/>
    <mergeCell ref="S14:Z14"/>
    <mergeCell ref="AJ17:AN17"/>
    <mergeCell ref="AP17:AQ17"/>
    <mergeCell ref="AR17:AV17"/>
    <mergeCell ref="AX17:AY17"/>
    <mergeCell ref="AR22:AV22"/>
    <mergeCell ref="AX22:AY22"/>
    <mergeCell ref="S28:Z28"/>
    <mergeCell ref="S29:Z29"/>
    <mergeCell ref="B27:F28"/>
    <mergeCell ref="G27:Q28"/>
    <mergeCell ref="S27:Z27"/>
    <mergeCell ref="AA27:AH27"/>
    <mergeCell ref="AA28:AH28"/>
    <mergeCell ref="F29:O29"/>
    <mergeCell ref="AA29:AH29"/>
    <mergeCell ref="S23:Z23"/>
    <mergeCell ref="AA23:AH23"/>
    <mergeCell ref="S24:Z24"/>
    <mergeCell ref="AA24:AH24"/>
    <mergeCell ref="AJ24:AN24"/>
    <mergeCell ref="S25:AH26"/>
    <mergeCell ref="AP22:AQ22"/>
    <mergeCell ref="AP23:AQ23"/>
    <mergeCell ref="AP24:AQ24"/>
    <mergeCell ref="AP21:AQ21"/>
    <mergeCell ref="AR21:AV21"/>
    <mergeCell ref="B22:H22"/>
    <mergeCell ref="S22:Z22"/>
    <mergeCell ref="AA22:AH22"/>
    <mergeCell ref="B23:H23"/>
    <mergeCell ref="AJ23:AN23"/>
    <mergeCell ref="J22:P22"/>
    <mergeCell ref="J23:P23"/>
    <mergeCell ref="B24:Q25"/>
    <mergeCell ref="B26:F26"/>
    <mergeCell ref="G26:K26"/>
    <mergeCell ref="M26:O26"/>
    <mergeCell ref="P26:Q26"/>
    <mergeCell ref="AO26:AV26"/>
    <mergeCell ref="AO27:AV27"/>
    <mergeCell ref="AX27:AY27"/>
    <mergeCell ref="AO28:AV28"/>
    <mergeCell ref="AX28:AY28"/>
    <mergeCell ref="AO29:AV29"/>
    <mergeCell ref="AX29:AY29"/>
    <mergeCell ref="AR23:AV23"/>
    <mergeCell ref="AX23:AY23"/>
    <mergeCell ref="AR24:AV24"/>
    <mergeCell ref="AX24:AY24"/>
    <mergeCell ref="AR25:AV25"/>
    <mergeCell ref="AX25:AY25"/>
    <mergeCell ref="AX26:AY26"/>
    <mergeCell ref="W32:AA32"/>
    <mergeCell ref="AB32:AC32"/>
    <mergeCell ref="AP38:AQ38"/>
    <mergeCell ref="AR38:AW38"/>
    <mergeCell ref="AJ35:AO35"/>
    <mergeCell ref="AJ36:AO36"/>
    <mergeCell ref="AJ37:AO37"/>
    <mergeCell ref="AP37:AQ37"/>
    <mergeCell ref="AR37:AW37"/>
    <mergeCell ref="AX37:AY37"/>
    <mergeCell ref="AX38:AY38"/>
    <mergeCell ref="AC39:AH39"/>
    <mergeCell ref="AC40:AH40"/>
    <mergeCell ref="V36:Y36"/>
    <mergeCell ref="U37:Z37"/>
    <mergeCell ref="AC37:AH37"/>
    <mergeCell ref="U38:Z38"/>
    <mergeCell ref="AC38:AH38"/>
    <mergeCell ref="U39:Z39"/>
    <mergeCell ref="U40:Z40"/>
    <mergeCell ref="AR40:AW40"/>
    <mergeCell ref="AX40:AY40"/>
    <mergeCell ref="AJ38:AO38"/>
    <mergeCell ref="AJ39:AO39"/>
    <mergeCell ref="AP39:AQ39"/>
    <mergeCell ref="AR39:AW39"/>
    <mergeCell ref="AX39:AY39"/>
    <mergeCell ref="AJ40:AO40"/>
    <mergeCell ref="AP40:AQ40"/>
    <mergeCell ref="C29:E29"/>
    <mergeCell ref="C30:E30"/>
    <mergeCell ref="F30:O30"/>
    <mergeCell ref="S30:AH31"/>
    <mergeCell ref="AJ30:AY31"/>
    <mergeCell ref="F31:O31"/>
    <mergeCell ref="AJ32:AY33"/>
    <mergeCell ref="AB33:AC33"/>
    <mergeCell ref="AR34:AW34"/>
    <mergeCell ref="AX34:AY34"/>
    <mergeCell ref="S33:V33"/>
    <mergeCell ref="W33:AA33"/>
    <mergeCell ref="S34:V34"/>
    <mergeCell ref="W34:AA34"/>
    <mergeCell ref="AB34:AC34"/>
    <mergeCell ref="AJ34:AO34"/>
    <mergeCell ref="AP34:AQ34"/>
    <mergeCell ref="W35:AA35"/>
    <mergeCell ref="AB35:AC35"/>
    <mergeCell ref="AP35:AQ35"/>
    <mergeCell ref="AR35:AW35"/>
    <mergeCell ref="AX35:AY35"/>
    <mergeCell ref="AD36:AG36"/>
    <mergeCell ref="AP36:AQ36"/>
    <mergeCell ref="F32:O32"/>
    <mergeCell ref="F33:O33"/>
    <mergeCell ref="F34:O34"/>
    <mergeCell ref="F35:O35"/>
    <mergeCell ref="F36:O36"/>
    <mergeCell ref="F37:O37"/>
    <mergeCell ref="F38:O38"/>
    <mergeCell ref="AJ41:AO41"/>
    <mergeCell ref="AP41:AQ41"/>
    <mergeCell ref="AR41:AW41"/>
    <mergeCell ref="AX41:AY41"/>
    <mergeCell ref="AJ42:AO42"/>
    <mergeCell ref="AP42:AQ42"/>
    <mergeCell ref="AR42:AW42"/>
    <mergeCell ref="AX42:AY42"/>
    <mergeCell ref="F39:O39"/>
    <mergeCell ref="H40:O40"/>
    <mergeCell ref="H41:O41"/>
    <mergeCell ref="U41:Z41"/>
    <mergeCell ref="AC41:AH41"/>
    <mergeCell ref="U42:Z42"/>
    <mergeCell ref="AC42:AH42"/>
    <mergeCell ref="AP53:AQ53"/>
    <mergeCell ref="AR53:AW53"/>
    <mergeCell ref="AX53:AY53"/>
    <mergeCell ref="B53:F53"/>
    <mergeCell ref="G53:H53"/>
    <mergeCell ref="J53:N53"/>
    <mergeCell ref="O53:P53"/>
    <mergeCell ref="S53:Y53"/>
    <mergeCell ref="AA53:AG53"/>
    <mergeCell ref="AJ53:AO53"/>
    <mergeCell ref="AP54:AQ54"/>
    <mergeCell ref="AR54:AW54"/>
    <mergeCell ref="AX54:AY54"/>
    <mergeCell ref="B54:F54"/>
    <mergeCell ref="G54:H54"/>
    <mergeCell ref="J54:N54"/>
    <mergeCell ref="O54:P54"/>
    <mergeCell ref="S54:Y54"/>
    <mergeCell ref="AA54:AG54"/>
    <mergeCell ref="AJ54:AO54"/>
    <mergeCell ref="S80:W80"/>
    <mergeCell ref="T81:U81"/>
    <mergeCell ref="V81:Y81"/>
    <mergeCell ref="AA81:AD81"/>
    <mergeCell ref="AE81:AG81"/>
    <mergeCell ref="AH81:AJ81"/>
    <mergeCell ref="AL81:AO81"/>
    <mergeCell ref="V77:Y77"/>
    <mergeCell ref="AA77:AD77"/>
    <mergeCell ref="V78:Y78"/>
    <mergeCell ref="AA78:AD78"/>
    <mergeCell ref="S79:W79"/>
    <mergeCell ref="X79:AD79"/>
    <mergeCell ref="X80:AD80"/>
    <mergeCell ref="AH73:AJ73"/>
    <mergeCell ref="AL73:AO73"/>
    <mergeCell ref="AH74:AK74"/>
    <mergeCell ref="AL74:AO74"/>
    <mergeCell ref="AP74:AV74"/>
    <mergeCell ref="AL75:AR75"/>
    <mergeCell ref="AS75:AY75"/>
    <mergeCell ref="S72:W72"/>
    <mergeCell ref="X72:AD72"/>
    <mergeCell ref="AE72:AK72"/>
    <mergeCell ref="AL72:AR72"/>
    <mergeCell ref="AS72:AY72"/>
    <mergeCell ref="T73:U73"/>
    <mergeCell ref="V73:Y73"/>
    <mergeCell ref="AP73:AV73"/>
    <mergeCell ref="AA73:AD73"/>
    <mergeCell ref="AE73:AG73"/>
    <mergeCell ref="V74:Y74"/>
    <mergeCell ref="AA74:AD74"/>
    <mergeCell ref="AE74:AG74"/>
    <mergeCell ref="X75:AD75"/>
    <mergeCell ref="AE75:AK75"/>
    <mergeCell ref="AL77:AO77"/>
    <mergeCell ref="AP77:AV77"/>
    <mergeCell ref="AP78:AV78"/>
    <mergeCell ref="AS79:AY79"/>
    <mergeCell ref="S75:W75"/>
    <mergeCell ref="S76:W76"/>
    <mergeCell ref="X76:AD76"/>
    <mergeCell ref="AE76:AK76"/>
    <mergeCell ref="AL76:AR76"/>
    <mergeCell ref="AS76:AY76"/>
    <mergeCell ref="T77:U77"/>
    <mergeCell ref="AE80:AK80"/>
    <mergeCell ref="AL80:AR80"/>
    <mergeCell ref="AS80:AY80"/>
    <mergeCell ref="AP81:AV81"/>
    <mergeCell ref="AE77:AG77"/>
    <mergeCell ref="AH77:AJ77"/>
    <mergeCell ref="AE78:AG78"/>
    <mergeCell ref="AH78:AK78"/>
    <mergeCell ref="AL78:AO78"/>
    <mergeCell ref="AE79:AK79"/>
    <mergeCell ref="AL79:AR79"/>
    <mergeCell ref="M65:Q65"/>
    <mergeCell ref="T65:U65"/>
    <mergeCell ref="S68:W68"/>
    <mergeCell ref="X68:AD68"/>
    <mergeCell ref="AE68:AK68"/>
    <mergeCell ref="AL68:AR68"/>
    <mergeCell ref="AS68:AY68"/>
    <mergeCell ref="M66:Q66"/>
    <mergeCell ref="V66:Y66"/>
    <mergeCell ref="M67:Q67"/>
    <mergeCell ref="S67:W67"/>
    <mergeCell ref="X67:AD67"/>
    <mergeCell ref="AE67:AK67"/>
    <mergeCell ref="AL67:AR67"/>
    <mergeCell ref="AS67:AY67"/>
    <mergeCell ref="V62:W62"/>
    <mergeCell ref="X62:Y62"/>
    <mergeCell ref="K63:L63"/>
    <mergeCell ref="M63:Q63"/>
    <mergeCell ref="S63:W63"/>
    <mergeCell ref="X63:AD63"/>
    <mergeCell ref="AA66:AD66"/>
    <mergeCell ref="T69:U69"/>
    <mergeCell ref="V69:Y69"/>
    <mergeCell ref="AA69:AD69"/>
    <mergeCell ref="AE69:AG69"/>
    <mergeCell ref="AH69:AJ69"/>
    <mergeCell ref="AL69:AO69"/>
    <mergeCell ref="AP69:AV69"/>
    <mergeCell ref="G69:I69"/>
    <mergeCell ref="F70:I70"/>
    <mergeCell ref="J70:M70"/>
    <mergeCell ref="N70:Q70"/>
    <mergeCell ref="V70:Y70"/>
    <mergeCell ref="AA70:AD70"/>
    <mergeCell ref="AE70:AG70"/>
    <mergeCell ref="AH70:AK70"/>
    <mergeCell ref="AL70:AO70"/>
    <mergeCell ref="AP70:AV70"/>
    <mergeCell ref="F71:I71"/>
    <mergeCell ref="J71:M71"/>
    <mergeCell ref="S71:W71"/>
    <mergeCell ref="X71:AD71"/>
    <mergeCell ref="AE71:AK71"/>
    <mergeCell ref="AL71:AR71"/>
    <mergeCell ref="AS71:AY71"/>
    <mergeCell ref="B64:H67"/>
    <mergeCell ref="I67:J67"/>
    <mergeCell ref="K67:L67"/>
    <mergeCell ref="B69:F69"/>
    <mergeCell ref="J69:N69"/>
    <mergeCell ref="O69:Q69"/>
    <mergeCell ref="N71:Q71"/>
    <mergeCell ref="J74:O74"/>
    <mergeCell ref="P74:Q74"/>
    <mergeCell ref="B70:E71"/>
    <mergeCell ref="C72:J72"/>
    <mergeCell ref="K72:M72"/>
    <mergeCell ref="N72:O72"/>
    <mergeCell ref="P72:Q72"/>
    <mergeCell ref="B74:G74"/>
    <mergeCell ref="H74:I74"/>
    <mergeCell ref="B75:G75"/>
    <mergeCell ref="H75:I75"/>
    <mergeCell ref="J75:O75"/>
    <mergeCell ref="P75:Q75"/>
    <mergeCell ref="H76:I76"/>
    <mergeCell ref="J76:O76"/>
    <mergeCell ref="P76:Q76"/>
    <mergeCell ref="J78:O78"/>
    <mergeCell ref="P78:Q78"/>
    <mergeCell ref="V82:Y82"/>
    <mergeCell ref="AA82:AD82"/>
    <mergeCell ref="AE82:AG82"/>
    <mergeCell ref="AH82:AK82"/>
    <mergeCell ref="AL82:AO82"/>
    <mergeCell ref="AP82:AV82"/>
    <mergeCell ref="B83:F83"/>
    <mergeCell ref="G83:H83"/>
    <mergeCell ref="I83:J83"/>
    <mergeCell ref="X83:AD83"/>
    <mergeCell ref="AE83:AK83"/>
    <mergeCell ref="AL83:AR83"/>
    <mergeCell ref="AS83:AY83"/>
    <mergeCell ref="B91:G91"/>
    <mergeCell ref="I91:O91"/>
    <mergeCell ref="P91:Q91"/>
    <mergeCell ref="S91:W91"/>
    <mergeCell ref="I92:O92"/>
    <mergeCell ref="P92:Q92"/>
    <mergeCell ref="S92:W92"/>
    <mergeCell ref="B92:G92"/>
    <mergeCell ref="B93:G93"/>
    <mergeCell ref="I93:O93"/>
    <mergeCell ref="P93:Q93"/>
    <mergeCell ref="T93:U93"/>
    <mergeCell ref="I94:O94"/>
    <mergeCell ref="P94:Q94"/>
    <mergeCell ref="B76:G76"/>
    <mergeCell ref="B77:G77"/>
    <mergeCell ref="H77:I77"/>
    <mergeCell ref="J77:O77"/>
    <mergeCell ref="P77:Q77"/>
    <mergeCell ref="B78:G78"/>
    <mergeCell ref="B79:Q80"/>
    <mergeCell ref="H78:I78"/>
    <mergeCell ref="G81:H81"/>
    <mergeCell ref="I81:J81"/>
    <mergeCell ref="B82:F82"/>
    <mergeCell ref="G82:H82"/>
    <mergeCell ref="I82:J82"/>
    <mergeCell ref="K82:P82"/>
    <mergeCell ref="V85:Y85"/>
    <mergeCell ref="V86:Y86"/>
    <mergeCell ref="B84:F84"/>
    <mergeCell ref="G84:H84"/>
    <mergeCell ref="I84:J84"/>
    <mergeCell ref="K84:N84"/>
    <mergeCell ref="O84:Q84"/>
    <mergeCell ref="B85:Q86"/>
    <mergeCell ref="T85:U85"/>
    <mergeCell ref="S88:W88"/>
    <mergeCell ref="T89:U89"/>
    <mergeCell ref="V89:Y89"/>
    <mergeCell ref="V90:Y90"/>
    <mergeCell ref="D87:K87"/>
    <mergeCell ref="L87:O87"/>
    <mergeCell ref="S87:W87"/>
    <mergeCell ref="D88:K88"/>
    <mergeCell ref="L88:O88"/>
    <mergeCell ref="D89:K89"/>
    <mergeCell ref="L89:O89"/>
    <mergeCell ref="V93:Y93"/>
    <mergeCell ref="V94:Y94"/>
    <mergeCell ref="U44:Z44"/>
    <mergeCell ref="AA44:AH44"/>
    <mergeCell ref="AJ44:AO44"/>
    <mergeCell ref="AP44:AQ44"/>
    <mergeCell ref="AR44:AW44"/>
    <mergeCell ref="AX44:AY44"/>
    <mergeCell ref="U45:Z45"/>
    <mergeCell ref="AC45:AH45"/>
    <mergeCell ref="AJ45:AO45"/>
    <mergeCell ref="AP45:AQ45"/>
    <mergeCell ref="AR45:AW45"/>
    <mergeCell ref="AX45:AY45"/>
    <mergeCell ref="F42:O42"/>
    <mergeCell ref="F43:O43"/>
    <mergeCell ref="U43:Z43"/>
    <mergeCell ref="AC43:AH43"/>
    <mergeCell ref="AJ43:AO43"/>
    <mergeCell ref="AP43:AQ43"/>
    <mergeCell ref="B44:Q45"/>
    <mergeCell ref="U46:Z46"/>
    <mergeCell ref="U47:Z47"/>
    <mergeCell ref="AC47:AH47"/>
    <mergeCell ref="AJ47:AW47"/>
    <mergeCell ref="AX47:AY47"/>
    <mergeCell ref="AP55:AQ55"/>
    <mergeCell ref="AR55:AW55"/>
    <mergeCell ref="AX55:AY55"/>
    <mergeCell ref="B55:F55"/>
    <mergeCell ref="G55:H55"/>
    <mergeCell ref="J55:N55"/>
    <mergeCell ref="O55:P55"/>
    <mergeCell ref="S55:Y55"/>
    <mergeCell ref="AA55:AG55"/>
    <mergeCell ref="AJ55:AO55"/>
    <mergeCell ref="S49:AH50"/>
    <mergeCell ref="S51:Y51"/>
    <mergeCell ref="AA51:AG51"/>
    <mergeCell ref="B46:E46"/>
    <mergeCell ref="F46:J46"/>
    <mergeCell ref="K46:N46"/>
    <mergeCell ref="O46:Q46"/>
    <mergeCell ref="AC46:AH46"/>
    <mergeCell ref="B47:I47"/>
    <mergeCell ref="B48:I48"/>
    <mergeCell ref="AJ50:AW50"/>
    <mergeCell ref="AJ51:AY52"/>
    <mergeCell ref="U48:Z48"/>
    <mergeCell ref="AC48:AH48"/>
    <mergeCell ref="AJ48:AW48"/>
    <mergeCell ref="AX48:AY48"/>
    <mergeCell ref="AJ49:AW49"/>
    <mergeCell ref="AX49:AY49"/>
    <mergeCell ref="AX50:AY50"/>
    <mergeCell ref="B52:F52"/>
    <mergeCell ref="G52:H52"/>
    <mergeCell ref="J52:N52"/>
    <mergeCell ref="O52:P52"/>
    <mergeCell ref="S52:Y52"/>
    <mergeCell ref="AA52:AG52"/>
    <mergeCell ref="K47:P47"/>
    <mergeCell ref="K48:P48"/>
    <mergeCell ref="B49:Q50"/>
    <mergeCell ref="B51:F51"/>
    <mergeCell ref="G51:H51"/>
    <mergeCell ref="J51:N51"/>
    <mergeCell ref="O51:P51"/>
    <mergeCell ref="S57:Y57"/>
    <mergeCell ref="Z57:AA57"/>
    <mergeCell ref="AJ57:AO57"/>
    <mergeCell ref="AR57:AU57"/>
    <mergeCell ref="AJ58:AO58"/>
    <mergeCell ref="AR58:AW58"/>
    <mergeCell ref="AV57:AW57"/>
    <mergeCell ref="AX57:AY57"/>
    <mergeCell ref="AX58:AY58"/>
    <mergeCell ref="S56:Y56"/>
    <mergeCell ref="Z56:AA56"/>
    <mergeCell ref="AB56:AG56"/>
    <mergeCell ref="AV56:AW56"/>
    <mergeCell ref="AX56:AY56"/>
    <mergeCell ref="E57:N57"/>
    <mergeCell ref="O57:P57"/>
    <mergeCell ref="C59:D59"/>
    <mergeCell ref="C60:D60"/>
    <mergeCell ref="E58:N58"/>
    <mergeCell ref="O58:P58"/>
    <mergeCell ref="S58:Y58"/>
    <mergeCell ref="Z58:AA58"/>
    <mergeCell ref="E59:N59"/>
    <mergeCell ref="O59:P59"/>
    <mergeCell ref="S59:AY60"/>
    <mergeCell ref="Z62:AG62"/>
    <mergeCell ref="AK62:AP62"/>
    <mergeCell ref="AE63:AK63"/>
    <mergeCell ref="AL63:AR63"/>
    <mergeCell ref="AS63:AY63"/>
    <mergeCell ref="AS64:AY64"/>
    <mergeCell ref="E60:N60"/>
    <mergeCell ref="O60:P60"/>
    <mergeCell ref="B61:Q62"/>
    <mergeCell ref="V61:W61"/>
    <mergeCell ref="X61:Y61"/>
    <mergeCell ref="AF61:AG61"/>
    <mergeCell ref="AN61:AP61"/>
    <mergeCell ref="G63:J63"/>
    <mergeCell ref="I64:J64"/>
    <mergeCell ref="K64:L64"/>
    <mergeCell ref="M64:Q64"/>
    <mergeCell ref="S64:W64"/>
    <mergeCell ref="X64:AD64"/>
    <mergeCell ref="AE64:AK64"/>
    <mergeCell ref="AL64:AR64"/>
    <mergeCell ref="I65:J65"/>
    <mergeCell ref="K65:L65"/>
    <mergeCell ref="V65:Y65"/>
    <mergeCell ref="AA65:AD65"/>
    <mergeCell ref="AE65:AG65"/>
    <mergeCell ref="AH65:AJ65"/>
    <mergeCell ref="AL65:AO65"/>
    <mergeCell ref="AP65:AV65"/>
    <mergeCell ref="I66:J66"/>
    <mergeCell ref="K66:L66"/>
    <mergeCell ref="AE66:AG66"/>
    <mergeCell ref="AH66:AK66"/>
    <mergeCell ref="AL66:AO66"/>
    <mergeCell ref="AP66:AV66"/>
    <mergeCell ref="AL91:AR91"/>
    <mergeCell ref="AS91:AY91"/>
    <mergeCell ref="AA90:AD90"/>
    <mergeCell ref="AE90:AG90"/>
    <mergeCell ref="AH90:AK90"/>
    <mergeCell ref="AL90:AO90"/>
    <mergeCell ref="AP90:AV90"/>
    <mergeCell ref="X91:AD91"/>
    <mergeCell ref="AE91:AK91"/>
    <mergeCell ref="AL85:AO85"/>
    <mergeCell ref="AP85:AV85"/>
    <mergeCell ref="AP86:AV86"/>
    <mergeCell ref="S83:W83"/>
    <mergeCell ref="S84:W84"/>
    <mergeCell ref="X84:AD84"/>
    <mergeCell ref="AE84:AK84"/>
    <mergeCell ref="AL84:AR84"/>
    <mergeCell ref="AS84:AY84"/>
    <mergeCell ref="AA85:AD85"/>
    <mergeCell ref="AE87:AK87"/>
    <mergeCell ref="AL87:AR87"/>
    <mergeCell ref="AS87:AY87"/>
    <mergeCell ref="AE85:AG85"/>
    <mergeCell ref="AH85:AJ85"/>
    <mergeCell ref="AA86:AD86"/>
    <mergeCell ref="AE86:AG86"/>
    <mergeCell ref="AH86:AK86"/>
    <mergeCell ref="AL86:AO86"/>
    <mergeCell ref="X87:AD87"/>
    <mergeCell ref="AL89:AO89"/>
    <mergeCell ref="AP89:AV89"/>
    <mergeCell ref="X88:AD88"/>
    <mergeCell ref="AE88:AK88"/>
    <mergeCell ref="AL88:AR88"/>
    <mergeCell ref="AS88:AY88"/>
    <mergeCell ref="AA89:AD89"/>
    <mergeCell ref="AE89:AG89"/>
    <mergeCell ref="AH89:AJ89"/>
    <mergeCell ref="AA94:AD94"/>
    <mergeCell ref="AE94:AG94"/>
    <mergeCell ref="AH94:AK94"/>
    <mergeCell ref="AL94:AO94"/>
    <mergeCell ref="AP94:AV94"/>
    <mergeCell ref="C114:L114"/>
    <mergeCell ref="M115:AD115"/>
    <mergeCell ref="AE115:AI115"/>
    <mergeCell ref="AJ115:AK115"/>
    <mergeCell ref="AL115:AO115"/>
    <mergeCell ref="AP115:AS115"/>
    <mergeCell ref="AT115:AY115"/>
    <mergeCell ref="C115:L115"/>
    <mergeCell ref="M116:AD116"/>
    <mergeCell ref="AE116:AI116"/>
    <mergeCell ref="AJ116:AK116"/>
    <mergeCell ref="AL116:AO116"/>
    <mergeCell ref="AP116:AS116"/>
    <mergeCell ref="AT116:AY116"/>
    <mergeCell ref="C116:L116"/>
    <mergeCell ref="M117:AD117"/>
    <mergeCell ref="AE117:AI117"/>
    <mergeCell ref="AJ117:AK117"/>
    <mergeCell ref="AL117:AO117"/>
    <mergeCell ref="AP117:AS117"/>
    <mergeCell ref="AT117:AY117"/>
    <mergeCell ref="C117:L117"/>
    <mergeCell ref="M118:AD118"/>
    <mergeCell ref="AE118:AI118"/>
    <mergeCell ref="AJ118:AK118"/>
    <mergeCell ref="AL118:AO118"/>
    <mergeCell ref="AP118:AS118"/>
    <mergeCell ref="AT118:AY118"/>
    <mergeCell ref="C118:L118"/>
    <mergeCell ref="M119:AD119"/>
    <mergeCell ref="AE119:AI119"/>
    <mergeCell ref="AJ119:AK119"/>
    <mergeCell ref="AL119:AO119"/>
    <mergeCell ref="AP119:AS119"/>
    <mergeCell ref="AT119:AY119"/>
    <mergeCell ref="C119:L119"/>
    <mergeCell ref="M120:AD120"/>
    <mergeCell ref="AE120:AI120"/>
    <mergeCell ref="AJ120:AK120"/>
    <mergeCell ref="AL120:AO120"/>
    <mergeCell ref="AP120:AS120"/>
    <mergeCell ref="AT120:AY120"/>
    <mergeCell ref="C120:L120"/>
    <mergeCell ref="M121:AD121"/>
    <mergeCell ref="AE121:AI121"/>
    <mergeCell ref="AJ121:AK121"/>
    <mergeCell ref="AL121:AO121"/>
    <mergeCell ref="AP121:AS121"/>
    <mergeCell ref="AT121:AY121"/>
    <mergeCell ref="C121:L121"/>
    <mergeCell ref="M122:AD122"/>
    <mergeCell ref="AE122:AI122"/>
    <mergeCell ref="AJ122:AK122"/>
    <mergeCell ref="AL122:AO122"/>
    <mergeCell ref="AP122:AS122"/>
    <mergeCell ref="AT122:AY122"/>
    <mergeCell ref="C122:L122"/>
    <mergeCell ref="M123:AD123"/>
    <mergeCell ref="AE123:AI123"/>
    <mergeCell ref="AJ123:AK123"/>
    <mergeCell ref="AL123:AO123"/>
    <mergeCell ref="AP123:AS123"/>
    <mergeCell ref="AT123:AY123"/>
    <mergeCell ref="C123:L123"/>
    <mergeCell ref="M124:AD124"/>
    <mergeCell ref="AE124:AI124"/>
    <mergeCell ref="AJ124:AK124"/>
    <mergeCell ref="AL124:AO124"/>
    <mergeCell ref="AP124:AS124"/>
    <mergeCell ref="AT124:AY124"/>
    <mergeCell ref="C124:L124"/>
    <mergeCell ref="M125:AD125"/>
    <mergeCell ref="AE125:AI125"/>
    <mergeCell ref="AJ125:AK125"/>
    <mergeCell ref="AL125:AO125"/>
    <mergeCell ref="AP125:AS125"/>
    <mergeCell ref="AT125:AY125"/>
    <mergeCell ref="C125:L125"/>
    <mergeCell ref="M126:AD126"/>
    <mergeCell ref="AE126:AI126"/>
    <mergeCell ref="AJ126:AK126"/>
    <mergeCell ref="AL126:AO126"/>
    <mergeCell ref="AP126:AS126"/>
    <mergeCell ref="AT126:AY126"/>
    <mergeCell ref="AL127:AO127"/>
    <mergeCell ref="AL128:AM128"/>
    <mergeCell ref="AN128:AS128"/>
    <mergeCell ref="AT128:AY128"/>
    <mergeCell ref="C126:L126"/>
    <mergeCell ref="C127:L127"/>
    <mergeCell ref="M127:AD127"/>
    <mergeCell ref="AE127:AI127"/>
    <mergeCell ref="AJ127:AK127"/>
    <mergeCell ref="AP127:AS127"/>
    <mergeCell ref="AT127:AY127"/>
    <mergeCell ref="X92:AD92"/>
    <mergeCell ref="AE92:AK92"/>
    <mergeCell ref="AL92:AR92"/>
    <mergeCell ref="AS92:AY92"/>
    <mergeCell ref="AA93:AD93"/>
    <mergeCell ref="AE93:AG93"/>
    <mergeCell ref="AH93:AJ93"/>
    <mergeCell ref="AL97:AO97"/>
    <mergeCell ref="AP97:AS97"/>
    <mergeCell ref="AL93:AO93"/>
    <mergeCell ref="AP93:AV93"/>
    <mergeCell ref="B95:AY96"/>
    <mergeCell ref="M97:AD97"/>
    <mergeCell ref="AE97:AI97"/>
    <mergeCell ref="AJ97:AK97"/>
    <mergeCell ref="AT97:AY97"/>
    <mergeCell ref="C97:L97"/>
    <mergeCell ref="M98:AD98"/>
    <mergeCell ref="AE98:AI98"/>
    <mergeCell ref="AJ98:AK98"/>
    <mergeCell ref="AL98:AO98"/>
    <mergeCell ref="AP98:AS98"/>
    <mergeCell ref="AT98:AY98"/>
    <mergeCell ref="C98:L98"/>
    <mergeCell ref="M99:AD99"/>
    <mergeCell ref="AE99:AI99"/>
    <mergeCell ref="AJ99:AK99"/>
    <mergeCell ref="AL99:AO99"/>
    <mergeCell ref="AP99:AS99"/>
    <mergeCell ref="AT99:AY99"/>
    <mergeCell ref="C99:L99"/>
    <mergeCell ref="M100:AD100"/>
    <mergeCell ref="AE100:AI100"/>
    <mergeCell ref="AJ100:AK100"/>
    <mergeCell ref="AL100:AO100"/>
    <mergeCell ref="AP100:AS100"/>
    <mergeCell ref="AT100:AY100"/>
    <mergeCell ref="B129:AY130"/>
    <mergeCell ref="C131:N131"/>
    <mergeCell ref="T131:AC131"/>
    <mergeCell ref="C100:L100"/>
    <mergeCell ref="M101:AD101"/>
    <mergeCell ref="AE101:AI101"/>
    <mergeCell ref="AJ101:AK101"/>
    <mergeCell ref="AL101:AO101"/>
    <mergeCell ref="AP101:AS101"/>
    <mergeCell ref="AT101:AY101"/>
    <mergeCell ref="C101:L101"/>
    <mergeCell ref="M102:AD102"/>
    <mergeCell ref="AE102:AI102"/>
    <mergeCell ref="AJ102:AK102"/>
    <mergeCell ref="AL102:AO102"/>
    <mergeCell ref="AP102:AS102"/>
    <mergeCell ref="AT102:AY102"/>
    <mergeCell ref="C102:L102"/>
    <mergeCell ref="M103:AD103"/>
    <mergeCell ref="AE103:AI103"/>
    <mergeCell ref="AJ103:AK103"/>
    <mergeCell ref="AL103:AO103"/>
    <mergeCell ref="AP103:AS103"/>
    <mergeCell ref="AT103:AY103"/>
    <mergeCell ref="C103:L103"/>
    <mergeCell ref="M104:AD104"/>
    <mergeCell ref="AE104:AI104"/>
    <mergeCell ref="AJ104:AK104"/>
    <mergeCell ref="AL104:AO104"/>
    <mergeCell ref="AP104:AS104"/>
    <mergeCell ref="AT104:AY104"/>
    <mergeCell ref="C104:L104"/>
    <mergeCell ref="M105:AD105"/>
    <mergeCell ref="AE105:AI105"/>
    <mergeCell ref="AJ105:AK105"/>
    <mergeCell ref="AL105:AO105"/>
    <mergeCell ref="AP105:AS105"/>
    <mergeCell ref="AT105:AY105"/>
    <mergeCell ref="C105:L105"/>
    <mergeCell ref="M106:AD106"/>
    <mergeCell ref="AE106:AI106"/>
    <mergeCell ref="AJ106:AK106"/>
    <mergeCell ref="AL106:AO106"/>
    <mergeCell ref="AP106:AS106"/>
    <mergeCell ref="AT106:AY106"/>
    <mergeCell ref="C106:L106"/>
    <mergeCell ref="M107:AD107"/>
    <mergeCell ref="AE107:AI107"/>
    <mergeCell ref="AJ107:AK107"/>
    <mergeCell ref="AL107:AO107"/>
    <mergeCell ref="AP107:AS107"/>
    <mergeCell ref="AT107:AY107"/>
    <mergeCell ref="C107:L107"/>
    <mergeCell ref="M108:AD108"/>
    <mergeCell ref="AE108:AI108"/>
    <mergeCell ref="AJ108:AK108"/>
    <mergeCell ref="AL108:AO108"/>
    <mergeCell ref="AP108:AS108"/>
    <mergeCell ref="AT108:AY108"/>
    <mergeCell ref="C108:L108"/>
    <mergeCell ref="M109:AD109"/>
    <mergeCell ref="AE109:AI109"/>
    <mergeCell ref="AJ109:AK109"/>
    <mergeCell ref="AL109:AO109"/>
    <mergeCell ref="AP109:AS109"/>
    <mergeCell ref="AT109:AY109"/>
    <mergeCell ref="C109:L109"/>
    <mergeCell ref="M110:AD110"/>
    <mergeCell ref="AE110:AI110"/>
    <mergeCell ref="AJ110:AK110"/>
    <mergeCell ref="AL110:AO110"/>
    <mergeCell ref="AP110:AS110"/>
    <mergeCell ref="AT110:AY110"/>
    <mergeCell ref="C110:L110"/>
    <mergeCell ref="M111:AD111"/>
    <mergeCell ref="AE111:AI111"/>
    <mergeCell ref="AJ111:AK111"/>
    <mergeCell ref="AL111:AO111"/>
    <mergeCell ref="AP111:AS111"/>
    <mergeCell ref="AT111:AY111"/>
    <mergeCell ref="C111:L111"/>
    <mergeCell ref="M112:AD112"/>
    <mergeCell ref="AE112:AI112"/>
    <mergeCell ref="AJ112:AK112"/>
    <mergeCell ref="AL112:AO112"/>
    <mergeCell ref="AP112:AS112"/>
    <mergeCell ref="AT112:AY112"/>
    <mergeCell ref="C112:L112"/>
    <mergeCell ref="M113:AD113"/>
    <mergeCell ref="AE113:AI113"/>
    <mergeCell ref="AJ113:AK113"/>
    <mergeCell ref="AL113:AO113"/>
    <mergeCell ref="AP113:AS113"/>
    <mergeCell ref="AT113:AY113"/>
    <mergeCell ref="C113:L113"/>
    <mergeCell ref="M114:AD114"/>
    <mergeCell ref="AE114:AI114"/>
    <mergeCell ref="AJ114:AK114"/>
    <mergeCell ref="AL114:AO114"/>
    <mergeCell ref="AP114:AS114"/>
    <mergeCell ref="AT114:AY114"/>
  </mergeCells>
  <conditionalFormatting sqref="AS6 AY6 Z9:Z10 AH9:AH10 J10 Q13 AW15:AW17 AO16:AO17 AO19:AO24 AW19:AW29 I20 Q20 P29 P31:P43 AD33:AE34 S37:S48 AA37:AA43 AA45:AA48 J47:J48 Q47:Q48 AH51:AH53 AH56 AP57:AP58 AW65 AW69 AW73 AW77 AW81 Q82 AW85 AW89 H91:H93 AW93">
    <cfRule type="cellIs" dxfId="0" priority="1" operator="equal">
      <formula>"FALSE"</formula>
    </cfRule>
  </conditionalFormatting>
  <conditionalFormatting sqref="AS6 AY6 Z9:Z10 AH9:AH10 J10 Q13 I20 Q20 J47:J48 Q47:Q48 AH51:AH53 AH56 Q82 H91:H93">
    <cfRule type="cellIs" dxfId="9" priority="2" operator="equal">
      <formula>"TRUE"</formula>
    </cfRule>
  </conditionalFormatting>
  <conditionalFormatting sqref="AX14:AY17 AP16:AQ17 AP19:AQ24 AX19:AY29">
    <cfRule type="cellIs" dxfId="4" priority="3" operator="greaterThan">
      <formula>0</formula>
    </cfRule>
  </conditionalFormatting>
  <conditionalFormatting sqref="AP12:AQ12">
    <cfRule type="expression" dxfId="8" priority="4">
      <formula>AP12&gt;AR12</formula>
    </cfRule>
  </conditionalFormatting>
  <conditionalFormatting sqref="AW15:AW17 AO16:AO17 AO19:AO24 AW19:AW29">
    <cfRule type="cellIs" dxfId="10" priority="5" operator="equal">
      <formula>"TRUE"</formula>
    </cfRule>
  </conditionalFormatting>
  <conditionalFormatting sqref="P29 P31:P43 AW65 AW69 AW73 AW77 AW81 AW85 AW89 AW93">
    <cfRule type="cellIs" dxfId="11" priority="6" operator="equal">
      <formula>"TRUE"</formula>
    </cfRule>
  </conditionalFormatting>
  <conditionalFormatting sqref="AN128:AS128">
    <cfRule type="expression" dxfId="8" priority="7">
      <formula>VALUE(AN128)&gt;L89</formula>
    </cfRule>
  </conditionalFormatting>
  <conditionalFormatting sqref="X64:AY64 X68:AY68 X72:AY72 X76:AY76 X80:AY80 X84:AY84 X88:AY88 X92:AY92">
    <cfRule type="expression" dxfId="12" priority="8">
      <formula>X63="--"</formula>
    </cfRule>
  </conditionalFormatting>
  <conditionalFormatting sqref="AV14:AW14">
    <cfRule type="beginsWith" dxfId="13" priority="9" operator="beginsWith" text="F">
      <formula>LEFT((AV14),LEN("F"))=("F")</formula>
    </cfRule>
  </conditionalFormatting>
  <conditionalFormatting sqref="AV14:AW14">
    <cfRule type="beginsWith" dxfId="9" priority="10" operator="beginsWith" text="H">
      <formula>LEFT((AV14),LEN("H"))=("H")</formula>
    </cfRule>
  </conditionalFormatting>
  <conditionalFormatting sqref="AV14:AW14">
    <cfRule type="notContainsBlanks" dxfId="14" priority="11">
      <formula>LEN(TRIM(AV14))&gt;0</formula>
    </cfRule>
  </conditionalFormatting>
  <conditionalFormatting sqref="AP57">
    <cfRule type="cellIs" dxfId="15" priority="12" operator="equal">
      <formula>"TRUE"</formula>
    </cfRule>
  </conditionalFormatting>
  <conditionalFormatting sqref="AP58">
    <cfRule type="cellIs" dxfId="16" priority="13" operator="equal">
      <formula>"TRUE"</formula>
    </cfRule>
  </conditionalFormatting>
  <conditionalFormatting sqref="AD33:AE34 S37:S48 AA37:AA43 AA45:AA48">
    <cfRule type="cellIs" dxfId="17" priority="14" operator="equal">
      <formula>"TRUE"</formula>
    </cfRule>
  </conditionalFormatting>
  <conditionalFormatting sqref="AB35">
    <cfRule type="cellIs" dxfId="8" priority="15" operator="greaterThan">
      <formula>AB33</formula>
    </cfRule>
  </conditionalFormatting>
  <dataValidations>
    <dataValidation type="list" allowBlank="1" showErrorMessage="1" sqref="AV14">
      <formula1>"Full,Half,No"</formula1>
    </dataValidation>
    <dataValidation type="list" allowBlank="1" showErrorMessage="1" sqref="Y7">
      <formula1>T_ScHC_N</formula1>
    </dataValidation>
    <dataValidation type="list" allowBlank="1" showErrorMessage="1" sqref="W8">
      <formula1>"Normal,Reinforced,Light"</formula1>
    </dataValidation>
    <dataValidation type="list" allowBlank="1" showErrorMessage="1" sqref="AC45:AC48">
      <formula1>T_Softw_N</formula1>
    </dataValidation>
    <dataValidation type="list" allowBlank="1" showErrorMessage="1" sqref="H10 J13">
      <formula1>"--,0,1,2,3,4,5,6,7,8,9,10,11,12,13,14,15,16"</formula1>
    </dataValidation>
    <dataValidation type="list" allowBlank="1" showErrorMessage="1" sqref="AE8">
      <formula1>"--,Reflec,Stealth,Sup. Stealth"</formula1>
    </dataValidation>
    <dataValidation type="list" allowBlank="1" showErrorMessage="1" sqref="X84 AE84 AL84 AS84">
      <formula1>'Spacecraft (Extensive)'!$C$137:$N$137</formula1>
    </dataValidation>
    <dataValidation type="list" allowBlank="1" showErrorMessage="1" sqref="AN5">
      <formula1>T_ScPP_N</formula1>
    </dataValidation>
    <dataValidation type="list" allowBlank="1" showErrorMessage="1" sqref="X68 AE68 AL68 AS68">
      <formula1>'Spacecraft (Extensive)'!$C$133:$N$133</formula1>
    </dataValidation>
    <dataValidation type="list" allowBlank="1" showErrorMessage="1" sqref="H11">
      <formula1>"--,1,2,3,4,5,6,7,8,9"</formula1>
    </dataValidation>
    <dataValidation type="list" allowBlank="1" showErrorMessage="1" sqref="H12">
      <formula1>"--,1,2,3,4,5,6,7,8,9,10"</formula1>
    </dataValidation>
    <dataValidation type="list" allowBlank="1" sqref="AC13">
      <formula1>"--,Titanium Steel,Crystaliron,Bonded Superdense,Molecular Bonded"</formula1>
    </dataValidation>
    <dataValidation type="list" allowBlank="1" showErrorMessage="1" sqref="X80 AE80 AL80 AS80">
      <formula1>'Spacecraft (Extensive)'!$C$136:$N$136</formula1>
    </dataValidation>
    <dataValidation type="list" allowBlank="1" showErrorMessage="1" sqref="Z58">
      <formula1>"--,TL12,TL16"</formula1>
    </dataValidation>
    <dataValidation type="list" allowBlank="1" showErrorMessage="1" sqref="X92 AE92 AL92 AS92">
      <formula1>'Spacecraft (Extensive)'!$C$139:$N$139</formula1>
    </dataValidation>
    <dataValidation type="list" allowBlank="1" showErrorMessage="1" sqref="X76 AE76 AL76 AS76">
      <formula1>'Spacecraft (Extensive)'!$C$135:$N$135</formula1>
    </dataValidation>
    <dataValidation type="list" allowBlank="1" showErrorMessage="1" sqref="Z57">
      <formula1>"--,TL16,TL17"</formula1>
    </dataValidation>
    <dataValidation type="list" allowBlank="1" showErrorMessage="1" sqref="X64 AE64 AL64 AS64">
      <formula1>'Spacecraft (Extensive)'!$C$132:$N$132</formula1>
    </dataValidation>
    <dataValidation type="list" allowBlank="1" showErrorMessage="1" sqref="G26">
      <formula1>T_ScST_N</formula1>
    </dataValidation>
    <dataValidation type="list" allowBlank="1" showErrorMessage="1" sqref="AC37:AC41 U39:U48">
      <formula1>T_ScSoftw_N</formula1>
    </dataValidation>
    <dataValidation type="list" allowBlank="1" showErrorMessage="1" sqref="X88 AE88 AL88 AS88">
      <formula1>'Spacecraft (Extensive)'!$C$138:$N$138</formula1>
    </dataValidation>
    <dataValidation type="list" allowBlank="1" showErrorMessage="1" sqref="W33:W34">
      <formula1>T_ScComp_N</formula1>
    </dataValidation>
    <dataValidation type="list" allowBlank="1" showErrorMessage="1" sqref="S64 S68 S72 S76 S80 S84 S88 S92">
      <formula1>"--,Fixed Mount,Single Turret,Double Turret,Triple Turret,Quad Turret,Barbette,Small Bay,Medium Bay,Large Bay,Spinal Mount,Solar Pulse Generator"</formula1>
    </dataValidation>
    <dataValidation type="list" allowBlank="1" showErrorMessage="1" sqref="AA65 AA69 AA73 AA77 AA81 AA85 AA89 AA93">
      <formula1>"Adjacent,Close,Short,Medium,Long,Very Long,Distant"</formula1>
    </dataValidation>
    <dataValidation type="list" allowBlank="1" showErrorMessage="1" sqref="F46">
      <formula1>"Standard,Small,Command,Cockpit,Dual Cockpit"</formula1>
    </dataValidation>
    <dataValidation type="list" allowBlank="1" showErrorMessage="1" sqref="P92">
      <formula1>"--,TL7,TL12"</formula1>
    </dataValidation>
    <dataValidation type="list" allowBlank="1" sqref="J11">
      <formula1>"Jump Drive,Hyperdrive,Space Folding,Warp Drive"</formula1>
    </dataValidation>
    <dataValidation type="list" allowBlank="1" showErrorMessage="1" sqref="Z56">
      <formula1>"--,TL7,TL9,TL12,TL15"</formula1>
    </dataValidation>
    <dataValidation type="list" allowBlank="1" showErrorMessage="1" sqref="X72 AE72 AL72 AS72">
      <formula1>'Spacecraft (Extensive)'!$C$134:$N$134</formula1>
    </dataValidation>
  </dataValidation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51C75"/>
    <outlinePr summaryBelow="0" summaryRight="0"/>
  </sheetPr>
  <sheetViews>
    <sheetView workbookViewId="0"/>
  </sheetViews>
  <sheetFormatPr customHeight="1" defaultColWidth="14.43" defaultRowHeight="15.75"/>
  <cols>
    <col customWidth="1" min="1" max="1" width="1.29"/>
    <col customWidth="1" min="2" max="14" width="13.86"/>
    <col customWidth="1" min="15" max="15" width="27.57"/>
    <col customWidth="1" min="16" max="16" width="13.86"/>
    <col customWidth="1" min="17" max="17" width="1.29"/>
  </cols>
  <sheetData>
    <row r="1" ht="36.0" customHeight="1">
      <c r="A1" s="347"/>
      <c r="B1" s="348" t="s">
        <v>548</v>
      </c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9" t="s">
        <v>549</v>
      </c>
      <c r="Q1" s="347"/>
    </row>
    <row r="2" ht="16.5" customHeight="1">
      <c r="A2" s="347"/>
      <c r="B2" s="350" t="s">
        <v>550</v>
      </c>
      <c r="C2" s="79"/>
      <c r="D2" s="350" t="s">
        <v>551</v>
      </c>
      <c r="E2" s="54"/>
      <c r="F2" s="79"/>
      <c r="G2" s="350" t="s">
        <v>552</v>
      </c>
      <c r="H2" s="54"/>
      <c r="I2" s="79"/>
      <c r="J2" s="1"/>
      <c r="K2" s="350" t="s">
        <v>553</v>
      </c>
      <c r="L2" s="79"/>
      <c r="M2" s="350" t="s">
        <v>554</v>
      </c>
      <c r="N2" s="79"/>
      <c r="O2" s="350" t="s">
        <v>555</v>
      </c>
      <c r="P2" s="79"/>
      <c r="Q2" s="347"/>
    </row>
    <row r="3" ht="16.5" customHeight="1">
      <c r="A3" s="347"/>
      <c r="B3" s="351" t="s">
        <v>556</v>
      </c>
      <c r="C3" s="352" t="s">
        <v>40</v>
      </c>
      <c r="D3" s="351" t="s">
        <v>557</v>
      </c>
      <c r="E3" s="353" t="s">
        <v>558</v>
      </c>
      <c r="F3" s="352" t="s">
        <v>559</v>
      </c>
      <c r="G3" s="351" t="s">
        <v>50</v>
      </c>
      <c r="H3" s="353" t="s">
        <v>560</v>
      </c>
      <c r="I3" s="352" t="s">
        <v>561</v>
      </c>
      <c r="J3" s="1"/>
      <c r="K3" s="351" t="s">
        <v>322</v>
      </c>
      <c r="L3" s="352" t="s">
        <v>562</v>
      </c>
      <c r="M3" s="351" t="s">
        <v>333</v>
      </c>
      <c r="N3" s="352" t="s">
        <v>563</v>
      </c>
      <c r="O3" s="351" t="s">
        <v>333</v>
      </c>
      <c r="P3" s="352" t="s">
        <v>563</v>
      </c>
      <c r="Q3" s="347"/>
    </row>
    <row r="4" ht="16.5" customHeight="1">
      <c r="A4" s="347"/>
      <c r="B4" s="354" t="s">
        <v>564</v>
      </c>
      <c r="C4" s="355">
        <f>Sk_Ath_D+DexDM</f>
        <v>-3</v>
      </c>
      <c r="D4" s="356">
        <v>2.0</v>
      </c>
      <c r="E4" s="344" t="s">
        <v>565</v>
      </c>
      <c r="F4" s="357">
        <v>400.0</v>
      </c>
      <c r="G4" s="356" t="s">
        <v>62</v>
      </c>
      <c r="H4" s="344" t="s">
        <v>62</v>
      </c>
      <c r="I4" s="357" t="s">
        <v>62</v>
      </c>
      <c r="J4" s="1"/>
      <c r="K4" s="356" t="s">
        <v>62</v>
      </c>
      <c r="L4" s="357">
        <v>0.0</v>
      </c>
      <c r="M4" s="356" t="s">
        <v>566</v>
      </c>
      <c r="N4" s="357">
        <v>0.0</v>
      </c>
      <c r="O4" s="356" t="s">
        <v>567</v>
      </c>
      <c r="P4" s="357">
        <v>15.0</v>
      </c>
      <c r="Q4" s="347"/>
    </row>
    <row r="5" ht="16.5" customHeight="1">
      <c r="A5" s="347"/>
      <c r="B5" s="354" t="s">
        <v>568</v>
      </c>
      <c r="C5" s="355">
        <f>Sk_GC_A+DexDM</f>
        <v>-3</v>
      </c>
      <c r="D5" s="356">
        <v>4.0</v>
      </c>
      <c r="E5" s="344" t="s">
        <v>569</v>
      </c>
      <c r="F5" s="357">
        <v>800.0</v>
      </c>
      <c r="G5" s="356">
        <v>0.0</v>
      </c>
      <c r="H5" s="344">
        <v>0.0</v>
      </c>
      <c r="I5" s="357">
        <v>1.0</v>
      </c>
      <c r="J5" s="1"/>
      <c r="K5" s="356" t="s">
        <v>427</v>
      </c>
      <c r="L5" s="357">
        <v>5.0</v>
      </c>
      <c r="M5" s="356" t="s">
        <v>570</v>
      </c>
      <c r="N5" s="357">
        <v>1.0</v>
      </c>
      <c r="O5" s="356" t="s">
        <v>571</v>
      </c>
      <c r="P5" s="357">
        <v>25.0</v>
      </c>
      <c r="Q5" s="347"/>
    </row>
    <row r="6" ht="16.5" customHeight="1">
      <c r="A6" s="347"/>
      <c r="B6" s="354" t="s">
        <v>572</v>
      </c>
      <c r="C6" s="355">
        <f>Sk_GC_E+DexDM</f>
        <v>-3</v>
      </c>
      <c r="D6" s="356">
        <v>5.0</v>
      </c>
      <c r="E6" s="344" t="s">
        <v>573</v>
      </c>
      <c r="F6" s="357">
        <v>1000.0</v>
      </c>
      <c r="G6" s="356">
        <v>1.0</v>
      </c>
      <c r="H6" s="353" t="s">
        <v>574</v>
      </c>
      <c r="I6" s="357">
        <v>2.0</v>
      </c>
      <c r="J6" s="1"/>
      <c r="K6" s="356" t="s">
        <v>575</v>
      </c>
      <c r="L6" s="357">
        <v>10.0</v>
      </c>
      <c r="M6" s="356" t="s">
        <v>576</v>
      </c>
      <c r="N6" s="357">
        <v>2.0</v>
      </c>
      <c r="O6" s="356" t="s">
        <v>577</v>
      </c>
      <c r="P6" s="357">
        <v>30.0</v>
      </c>
      <c r="Q6" s="347"/>
    </row>
    <row r="7" ht="16.5" customHeight="1">
      <c r="A7" s="347"/>
      <c r="B7" s="354" t="s">
        <v>578</v>
      </c>
      <c r="C7" s="355">
        <f>Sk_GC_S+DexDM</f>
        <v>-3</v>
      </c>
      <c r="D7" s="356">
        <v>6.0</v>
      </c>
      <c r="E7" s="344" t="s">
        <v>579</v>
      </c>
      <c r="F7" s="357">
        <v>1200.0</v>
      </c>
      <c r="G7" s="356">
        <v>2.0</v>
      </c>
      <c r="H7" s="344" t="s">
        <v>62</v>
      </c>
      <c r="I7" s="357">
        <v>3.0</v>
      </c>
      <c r="J7" s="1"/>
      <c r="K7" s="356" t="s">
        <v>580</v>
      </c>
      <c r="L7" s="357">
        <v>15.0</v>
      </c>
      <c r="M7" s="356" t="s">
        <v>581</v>
      </c>
      <c r="N7" s="357">
        <v>3.0</v>
      </c>
      <c r="O7" s="356" t="s">
        <v>582</v>
      </c>
      <c r="P7" s="357">
        <v>2.0</v>
      </c>
      <c r="Q7" s="347"/>
    </row>
    <row r="8" ht="16.5" customHeight="1">
      <c r="A8" s="347"/>
      <c r="B8" s="354" t="s">
        <v>583</v>
      </c>
      <c r="C8" s="355">
        <f>Sk_HW_MP+DexDM</f>
        <v>-3</v>
      </c>
      <c r="D8" s="356">
        <v>7.0</v>
      </c>
      <c r="E8" s="344" t="s">
        <v>240</v>
      </c>
      <c r="F8" s="357">
        <v>1500.0</v>
      </c>
      <c r="G8" s="356">
        <v>3.0</v>
      </c>
      <c r="H8" s="344">
        <v>1.0</v>
      </c>
      <c r="I8" s="357">
        <v>4.0</v>
      </c>
      <c r="J8" s="1"/>
      <c r="K8" s="356" t="s">
        <v>584</v>
      </c>
      <c r="L8" s="357">
        <v>20.0</v>
      </c>
      <c r="M8" s="356" t="s">
        <v>585</v>
      </c>
      <c r="N8" s="357">
        <v>0.0</v>
      </c>
      <c r="O8" s="356" t="s">
        <v>586</v>
      </c>
      <c r="P8" s="357">
        <v>5.0</v>
      </c>
      <c r="Q8" s="347"/>
    </row>
    <row r="9" ht="16.5" customHeight="1">
      <c r="A9" s="347"/>
      <c r="B9" s="358" t="s">
        <v>587</v>
      </c>
      <c r="C9" s="355">
        <f>Sk_M_Blade+MAX(StrDM,DexDM)</f>
        <v>-3</v>
      </c>
      <c r="D9" s="356">
        <v>8.0</v>
      </c>
      <c r="E9" s="344" t="s">
        <v>588</v>
      </c>
      <c r="F9" s="357">
        <v>2000.0</v>
      </c>
      <c r="G9" s="356">
        <v>4.0</v>
      </c>
      <c r="H9" s="344">
        <v>2.0</v>
      </c>
      <c r="I9" s="357">
        <v>5.0</v>
      </c>
      <c r="J9" s="1"/>
      <c r="K9" s="356" t="s">
        <v>589</v>
      </c>
      <c r="L9" s="357">
        <v>25.0</v>
      </c>
      <c r="M9" s="356" t="s">
        <v>590</v>
      </c>
      <c r="N9" s="357">
        <v>1.0</v>
      </c>
      <c r="O9" s="356" t="s">
        <v>591</v>
      </c>
      <c r="P9" s="357">
        <v>10.0</v>
      </c>
      <c r="Q9" s="347"/>
    </row>
    <row r="10" ht="16.5" customHeight="1">
      <c r="A10" s="347"/>
      <c r="B10" s="359" t="s">
        <v>592</v>
      </c>
      <c r="C10" s="355">
        <f>Sk_M_Bludgeon+MAX(StrDM,DexDM)</f>
        <v>-3</v>
      </c>
      <c r="D10" s="356">
        <v>10.0</v>
      </c>
      <c r="E10" s="344" t="s">
        <v>593</v>
      </c>
      <c r="F10" s="357">
        <v>2500.0</v>
      </c>
      <c r="G10" s="356">
        <v>5.0</v>
      </c>
      <c r="H10" s="344">
        <v>3.0</v>
      </c>
      <c r="I10" s="357">
        <v>6.0</v>
      </c>
      <c r="J10" s="1"/>
      <c r="K10" s="356" t="s">
        <v>594</v>
      </c>
      <c r="L10" s="357">
        <v>30.0</v>
      </c>
      <c r="M10" s="356" t="s">
        <v>595</v>
      </c>
      <c r="N10" s="357">
        <v>2.0</v>
      </c>
      <c r="O10" s="356" t="s">
        <v>596</v>
      </c>
      <c r="P10" s="357">
        <v>10.0</v>
      </c>
      <c r="Q10" s="347"/>
    </row>
    <row r="11" ht="16.5" customHeight="1">
      <c r="A11" s="347"/>
      <c r="B11" s="359" t="s">
        <v>597</v>
      </c>
      <c r="C11" s="355">
        <f>Sk_M_N+MAX(StrDM,DexDM)</f>
        <v>-3</v>
      </c>
      <c r="D11" s="356">
        <v>12.0</v>
      </c>
      <c r="E11" s="344" t="s">
        <v>598</v>
      </c>
      <c r="F11" s="357">
        <v>5000.0</v>
      </c>
      <c r="G11" s="356">
        <v>6.0</v>
      </c>
      <c r="H11" s="360"/>
      <c r="I11" s="357">
        <v>7.0</v>
      </c>
      <c r="J11" s="1"/>
      <c r="K11" s="356" t="s">
        <v>599</v>
      </c>
      <c r="L11" s="357">
        <v>35.0</v>
      </c>
      <c r="M11" s="356" t="s">
        <v>600</v>
      </c>
      <c r="N11" s="357">
        <v>3.0</v>
      </c>
      <c r="O11" s="356" t="s">
        <v>601</v>
      </c>
      <c r="P11" s="357">
        <v>20.0</v>
      </c>
      <c r="Q11" s="347"/>
    </row>
    <row r="12" ht="16.5" customHeight="1">
      <c r="A12" s="347"/>
      <c r="B12" s="361" t="s">
        <v>602</v>
      </c>
      <c r="C12" s="362">
        <f>Sk_M_U+MAX(StrDM,DexDM)</f>
        <v>-3</v>
      </c>
      <c r="D12" s="356">
        <v>14.0</v>
      </c>
      <c r="E12" s="344" t="s">
        <v>603</v>
      </c>
      <c r="F12" s="357">
        <v>12000.0</v>
      </c>
      <c r="G12" s="356">
        <v>7.0</v>
      </c>
      <c r="H12" s="360"/>
      <c r="I12" s="357">
        <v>8.0</v>
      </c>
      <c r="J12" s="1"/>
      <c r="K12" s="356" t="s">
        <v>604</v>
      </c>
      <c r="L12" s="357">
        <v>40.0</v>
      </c>
      <c r="M12" s="356" t="s">
        <v>605</v>
      </c>
      <c r="N12" s="357">
        <v>1.0</v>
      </c>
      <c r="O12" s="356" t="s">
        <v>606</v>
      </c>
      <c r="P12" s="357">
        <v>5.0</v>
      </c>
      <c r="Q12" s="347"/>
    </row>
    <row r="13" ht="16.5" customHeight="1">
      <c r="A13" s="347"/>
      <c r="B13" s="350" t="s">
        <v>607</v>
      </c>
      <c r="C13" s="79"/>
      <c r="D13" s="363">
        <v>15.0</v>
      </c>
      <c r="E13" s="364" t="s">
        <v>608</v>
      </c>
      <c r="F13" s="365">
        <v>20000.0</v>
      </c>
      <c r="G13" s="363">
        <v>8.0</v>
      </c>
      <c r="H13" s="366"/>
      <c r="I13" s="367"/>
      <c r="J13" s="1"/>
      <c r="K13" s="356" t="s">
        <v>609</v>
      </c>
      <c r="L13" s="357">
        <v>50.0</v>
      </c>
      <c r="M13" s="356" t="s">
        <v>610</v>
      </c>
      <c r="N13" s="357">
        <v>2.0</v>
      </c>
      <c r="O13" s="356" t="s">
        <v>611</v>
      </c>
      <c r="P13" s="357">
        <v>10.0</v>
      </c>
      <c r="Q13" s="347"/>
    </row>
    <row r="14" ht="16.5" customHeight="1">
      <c r="A14" s="347"/>
      <c r="B14" s="351" t="s">
        <v>612</v>
      </c>
      <c r="C14" s="352" t="s">
        <v>40</v>
      </c>
      <c r="D14" s="350" t="s">
        <v>613</v>
      </c>
      <c r="E14" s="54"/>
      <c r="F14" s="79"/>
      <c r="G14" s="368" t="s">
        <v>614</v>
      </c>
      <c r="H14" s="1"/>
      <c r="I14" s="1"/>
      <c r="J14" s="1"/>
      <c r="K14" s="356" t="s">
        <v>615</v>
      </c>
      <c r="L14" s="357">
        <v>60.0</v>
      </c>
      <c r="M14" s="356" t="s">
        <v>616</v>
      </c>
      <c r="N14" s="357">
        <v>3.0</v>
      </c>
      <c r="O14" s="356" t="s">
        <v>617</v>
      </c>
      <c r="P14" s="357">
        <v>15.0</v>
      </c>
      <c r="Q14" s="347"/>
    </row>
    <row r="15" ht="16.5" customHeight="1">
      <c r="A15" s="347"/>
      <c r="B15" s="356" t="s">
        <v>618</v>
      </c>
      <c r="C15" s="355">
        <f>Sk_D_H</f>
        <v>-3</v>
      </c>
      <c r="D15" s="351" t="s">
        <v>619</v>
      </c>
      <c r="E15" s="353" t="s">
        <v>620</v>
      </c>
      <c r="F15" s="352" t="s">
        <v>621</v>
      </c>
      <c r="G15" s="369" t="s">
        <v>622</v>
      </c>
      <c r="H15" s="1"/>
      <c r="I15" s="1"/>
      <c r="J15" s="1"/>
      <c r="K15" s="356" t="s">
        <v>623</v>
      </c>
      <c r="L15" s="357">
        <v>70.0</v>
      </c>
      <c r="M15" s="356" t="s">
        <v>624</v>
      </c>
      <c r="N15" s="357">
        <v>1.0</v>
      </c>
      <c r="O15" s="356" t="s">
        <v>625</v>
      </c>
      <c r="P15" s="357">
        <v>12.0</v>
      </c>
      <c r="Q15" s="347"/>
    </row>
    <row r="16" ht="16.5" customHeight="1">
      <c r="A16" s="347"/>
      <c r="B16" s="356" t="s">
        <v>626</v>
      </c>
      <c r="C16" s="355">
        <f>Sk_D_M</f>
        <v>-3</v>
      </c>
      <c r="D16" s="356" t="s">
        <v>627</v>
      </c>
      <c r="E16" s="344">
        <v>0.0</v>
      </c>
      <c r="F16" s="357">
        <v>0.0</v>
      </c>
      <c r="G16" s="369" t="s">
        <v>628</v>
      </c>
      <c r="H16" s="1"/>
      <c r="I16" s="1"/>
      <c r="J16" s="1"/>
      <c r="K16" s="356" t="s">
        <v>629</v>
      </c>
      <c r="L16" s="357">
        <v>80.0</v>
      </c>
      <c r="M16" s="356" t="s">
        <v>630</v>
      </c>
      <c r="N16" s="357">
        <v>0.0</v>
      </c>
      <c r="O16" s="356" t="s">
        <v>631</v>
      </c>
      <c r="P16" s="357">
        <v>40.0</v>
      </c>
      <c r="Q16" s="347"/>
    </row>
    <row r="17" ht="16.5" customHeight="1">
      <c r="A17" s="347"/>
      <c r="B17" s="356" t="s">
        <v>632</v>
      </c>
      <c r="C17" s="355">
        <f>Sk_D_T</f>
        <v>-3</v>
      </c>
      <c r="D17" s="356" t="s">
        <v>633</v>
      </c>
      <c r="E17" s="344">
        <v>1.0</v>
      </c>
      <c r="F17" s="357" t="s">
        <v>634</v>
      </c>
      <c r="G17" s="369" t="s">
        <v>635</v>
      </c>
      <c r="H17" s="1"/>
      <c r="I17" s="1"/>
      <c r="J17" s="1"/>
      <c r="K17" s="356" t="s">
        <v>636</v>
      </c>
      <c r="L17" s="357">
        <v>90.0</v>
      </c>
      <c r="M17" s="356" t="s">
        <v>637</v>
      </c>
      <c r="N17" s="357">
        <v>1.0</v>
      </c>
      <c r="O17" s="356" t="s">
        <v>638</v>
      </c>
      <c r="P17" s="357">
        <v>25.0</v>
      </c>
      <c r="Q17" s="347"/>
    </row>
    <row r="18" ht="16.5" customHeight="1">
      <c r="A18" s="347"/>
      <c r="B18" s="356" t="s">
        <v>639</v>
      </c>
      <c r="C18" s="355">
        <f>Sk_D_Wa</f>
        <v>-3</v>
      </c>
      <c r="D18" s="356" t="s">
        <v>640</v>
      </c>
      <c r="E18" s="344">
        <v>2.0</v>
      </c>
      <c r="F18" s="357" t="s">
        <v>641</v>
      </c>
      <c r="G18" s="369" t="s">
        <v>642</v>
      </c>
      <c r="H18" s="1"/>
      <c r="I18" s="1"/>
      <c r="J18" s="1"/>
      <c r="K18" s="363" t="s">
        <v>643</v>
      </c>
      <c r="L18" s="365">
        <v>100.0</v>
      </c>
      <c r="M18" s="356" t="s">
        <v>644</v>
      </c>
      <c r="N18" s="357">
        <v>2.0</v>
      </c>
      <c r="O18" s="356" t="s">
        <v>645</v>
      </c>
      <c r="P18" s="357">
        <v>10.0</v>
      </c>
      <c r="Q18" s="347"/>
    </row>
    <row r="19" ht="16.5" customHeight="1">
      <c r="A19" s="347"/>
      <c r="B19" s="356" t="s">
        <v>646</v>
      </c>
      <c r="C19" s="355">
        <f>Sk_D_Wh</f>
        <v>-3</v>
      </c>
      <c r="D19" s="356" t="s">
        <v>647</v>
      </c>
      <c r="E19" s="344">
        <v>3.0</v>
      </c>
      <c r="F19" s="357" t="s">
        <v>648</v>
      </c>
      <c r="G19" s="369" t="s">
        <v>649</v>
      </c>
      <c r="H19" s="1"/>
      <c r="I19" s="1"/>
      <c r="J19" s="1"/>
      <c r="K19" s="1"/>
      <c r="L19" s="1"/>
      <c r="M19" s="356" t="s">
        <v>650</v>
      </c>
      <c r="N19" s="357">
        <v>3.0</v>
      </c>
      <c r="O19" s="356" t="s">
        <v>651</v>
      </c>
      <c r="P19" s="357">
        <v>10.0</v>
      </c>
      <c r="Q19" s="347"/>
    </row>
    <row r="20" ht="16.5" customHeight="1">
      <c r="A20" s="347"/>
      <c r="B20" s="356" t="s">
        <v>652</v>
      </c>
      <c r="C20" s="355">
        <f>Sk_F_A</f>
        <v>-3</v>
      </c>
      <c r="D20" s="356" t="s">
        <v>653</v>
      </c>
      <c r="E20" s="344">
        <v>4.0</v>
      </c>
      <c r="F20" s="357" t="s">
        <v>654</v>
      </c>
      <c r="G20" s="369" t="s">
        <v>655</v>
      </c>
      <c r="H20" s="1"/>
      <c r="I20" s="1"/>
      <c r="J20" s="1"/>
      <c r="K20" s="1"/>
      <c r="L20" s="1"/>
      <c r="M20" s="356" t="s">
        <v>656</v>
      </c>
      <c r="N20" s="357">
        <v>4.0</v>
      </c>
      <c r="O20" s="356" t="s">
        <v>657</v>
      </c>
      <c r="P20" s="357">
        <v>15.0</v>
      </c>
      <c r="Q20" s="347"/>
    </row>
    <row r="21" ht="16.5" customHeight="1">
      <c r="A21" s="347"/>
      <c r="B21" s="356" t="s">
        <v>658</v>
      </c>
      <c r="C21" s="355">
        <f>Sk_F_G</f>
        <v>-3</v>
      </c>
      <c r="D21" s="356" t="s">
        <v>588</v>
      </c>
      <c r="E21" s="344">
        <v>5.0</v>
      </c>
      <c r="F21" s="357" t="s">
        <v>659</v>
      </c>
      <c r="G21" s="369" t="s">
        <v>660</v>
      </c>
      <c r="H21" s="1"/>
      <c r="I21" s="1"/>
      <c r="J21" s="1"/>
      <c r="K21" s="1"/>
      <c r="L21" s="1"/>
      <c r="M21" s="356" t="s">
        <v>661</v>
      </c>
      <c r="N21" s="357">
        <v>0.0</v>
      </c>
      <c r="O21" s="356" t="s">
        <v>662</v>
      </c>
      <c r="P21" s="357">
        <v>20.0</v>
      </c>
      <c r="Q21" s="347"/>
    </row>
    <row r="22" ht="16.5" customHeight="1">
      <c r="A22" s="347"/>
      <c r="B22" s="356" t="s">
        <v>663</v>
      </c>
      <c r="C22" s="355">
        <f>Sk_F_O</f>
        <v>-3</v>
      </c>
      <c r="D22" s="356" t="s">
        <v>664</v>
      </c>
      <c r="E22" s="344">
        <v>6.0</v>
      </c>
      <c r="F22" s="357" t="s">
        <v>665</v>
      </c>
      <c r="G22" s="369" t="s">
        <v>666</v>
      </c>
      <c r="H22" s="1"/>
      <c r="I22" s="1"/>
      <c r="J22" s="1"/>
      <c r="K22" s="1"/>
      <c r="L22" s="1"/>
      <c r="M22" s="356" t="s">
        <v>667</v>
      </c>
      <c r="N22" s="357">
        <v>1.0</v>
      </c>
      <c r="O22" s="356" t="s">
        <v>668</v>
      </c>
      <c r="P22" s="357">
        <v>10.0</v>
      </c>
      <c r="Q22" s="347"/>
    </row>
    <row r="23" ht="16.5" customHeight="1">
      <c r="A23" s="347"/>
      <c r="B23" s="356" t="s">
        <v>669</v>
      </c>
      <c r="C23" s="355">
        <f>Sk_F_R</f>
        <v>-3</v>
      </c>
      <c r="D23" s="356" t="s">
        <v>670</v>
      </c>
      <c r="E23" s="344">
        <v>7.0</v>
      </c>
      <c r="F23" s="357" t="s">
        <v>671</v>
      </c>
      <c r="G23" s="369" t="s">
        <v>672</v>
      </c>
      <c r="H23" s="1"/>
      <c r="I23" s="1"/>
      <c r="J23" s="1"/>
      <c r="K23" s="1"/>
      <c r="L23" s="1"/>
      <c r="M23" s="356" t="s">
        <v>673</v>
      </c>
      <c r="N23" s="357">
        <v>2.0</v>
      </c>
      <c r="O23" s="356" t="s">
        <v>674</v>
      </c>
      <c r="P23" s="357">
        <v>15.0</v>
      </c>
      <c r="Q23" s="347"/>
    </row>
    <row r="24" ht="16.5" customHeight="1">
      <c r="A24" s="347"/>
      <c r="B24" s="356" t="s">
        <v>675</v>
      </c>
      <c r="C24" s="355">
        <f>Sk_F_W</f>
        <v>-3</v>
      </c>
      <c r="D24" s="356" t="s">
        <v>676</v>
      </c>
      <c r="E24" s="344">
        <v>8.0</v>
      </c>
      <c r="F24" s="357" t="s">
        <v>677</v>
      </c>
      <c r="G24" s="370" t="s">
        <v>678</v>
      </c>
      <c r="H24" s="1"/>
      <c r="I24" s="1"/>
      <c r="J24" s="1"/>
      <c r="K24" s="1"/>
      <c r="L24" s="1"/>
      <c r="M24" s="356" t="s">
        <v>679</v>
      </c>
      <c r="N24" s="357">
        <v>3.0</v>
      </c>
      <c r="O24" s="356" t="s">
        <v>680</v>
      </c>
      <c r="P24" s="357">
        <v>25.0</v>
      </c>
      <c r="Q24" s="347"/>
    </row>
    <row r="25" ht="16.5" customHeight="1">
      <c r="A25" s="347"/>
      <c r="B25" s="356" t="s">
        <v>681</v>
      </c>
      <c r="C25" s="355">
        <f>Sk_Sea_O</f>
        <v>-3</v>
      </c>
      <c r="D25" s="356" t="s">
        <v>682</v>
      </c>
      <c r="E25" s="344">
        <v>9.0</v>
      </c>
      <c r="F25" s="357" t="s">
        <v>683</v>
      </c>
      <c r="G25" s="1"/>
      <c r="H25" s="1"/>
      <c r="I25" s="1"/>
      <c r="J25" s="1"/>
      <c r="K25" s="1"/>
      <c r="L25" s="1"/>
      <c r="M25" s="356" t="s">
        <v>684</v>
      </c>
      <c r="N25" s="357">
        <v>0.0</v>
      </c>
      <c r="O25" s="356" t="s">
        <v>685</v>
      </c>
      <c r="P25" s="357">
        <v>5.0</v>
      </c>
      <c r="Q25" s="347"/>
    </row>
    <row r="26" ht="16.5" customHeight="1">
      <c r="A26" s="347"/>
      <c r="B26" s="356" t="s">
        <v>686</v>
      </c>
      <c r="C26" s="355">
        <f>Sk_Sea_P</f>
        <v>-3</v>
      </c>
      <c r="D26" s="363" t="s">
        <v>687</v>
      </c>
      <c r="E26" s="364">
        <v>10.0</v>
      </c>
      <c r="F26" s="365" t="s">
        <v>688</v>
      </c>
      <c r="G26" s="1"/>
      <c r="H26" s="1"/>
      <c r="I26" s="1"/>
      <c r="J26" s="1"/>
      <c r="K26" s="1"/>
      <c r="L26" s="1"/>
      <c r="M26" s="363" t="s">
        <v>689</v>
      </c>
      <c r="N26" s="365">
        <v>1.0</v>
      </c>
      <c r="O26" s="356" t="s">
        <v>690</v>
      </c>
      <c r="P26" s="357">
        <v>10.0</v>
      </c>
      <c r="Q26" s="347"/>
    </row>
    <row r="27" ht="16.5" customHeight="1">
      <c r="A27" s="347"/>
      <c r="B27" s="356" t="s">
        <v>691</v>
      </c>
      <c r="C27" s="355">
        <f>Sk_Sea_Sa</f>
        <v>-3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356" t="s">
        <v>692</v>
      </c>
      <c r="P27" s="357">
        <v>15.0</v>
      </c>
      <c r="Q27" s="347"/>
    </row>
    <row r="28" ht="16.5" customHeight="1">
      <c r="A28" s="347"/>
      <c r="B28" s="363" t="s">
        <v>693</v>
      </c>
      <c r="C28" s="362">
        <f>Sk_Sea_Su</f>
        <v>-3</v>
      </c>
      <c r="D28" s="350" t="s">
        <v>694</v>
      </c>
      <c r="E28" s="54"/>
      <c r="F28" s="79"/>
      <c r="G28" s="350" t="s">
        <v>695</v>
      </c>
      <c r="H28" s="79"/>
      <c r="I28" s="350" t="s">
        <v>696</v>
      </c>
      <c r="J28" s="79"/>
      <c r="K28" s="350" t="s">
        <v>697</v>
      </c>
      <c r="L28" s="54"/>
      <c r="M28" s="54"/>
      <c r="N28" s="79"/>
      <c r="O28" s="356" t="s">
        <v>698</v>
      </c>
      <c r="P28" s="357">
        <v>20.0</v>
      </c>
      <c r="Q28" s="347"/>
    </row>
    <row r="29" ht="16.5" customHeight="1">
      <c r="A29" s="347"/>
      <c r="B29" s="350" t="s">
        <v>699</v>
      </c>
      <c r="C29" s="79"/>
      <c r="D29" s="351" t="s">
        <v>350</v>
      </c>
      <c r="E29" s="353" t="s">
        <v>347</v>
      </c>
      <c r="F29" s="352" t="s">
        <v>700</v>
      </c>
      <c r="G29" s="351" t="s">
        <v>202</v>
      </c>
      <c r="H29" s="352" t="s">
        <v>143</v>
      </c>
      <c r="I29" s="351" t="s">
        <v>202</v>
      </c>
      <c r="J29" s="352" t="s">
        <v>143</v>
      </c>
      <c r="K29" s="351" t="s">
        <v>202</v>
      </c>
      <c r="L29" s="353" t="s">
        <v>701</v>
      </c>
      <c r="M29" s="353" t="s">
        <v>702</v>
      </c>
      <c r="N29" s="352" t="s">
        <v>703</v>
      </c>
      <c r="O29" s="356" t="s">
        <v>704</v>
      </c>
      <c r="P29" s="357">
        <v>25.0</v>
      </c>
      <c r="Q29" s="347"/>
    </row>
    <row r="30" ht="16.5" customHeight="1">
      <c r="A30" s="347"/>
      <c r="B30" s="351" t="s">
        <v>375</v>
      </c>
      <c r="C30" s="352" t="s">
        <v>705</v>
      </c>
      <c r="D30" s="356" t="s">
        <v>351</v>
      </c>
      <c r="E30" s="344" t="s">
        <v>706</v>
      </c>
      <c r="F30" s="357">
        <v>1.0</v>
      </c>
      <c r="G30" s="356" t="s">
        <v>707</v>
      </c>
      <c r="H30" s="357">
        <v>4.0</v>
      </c>
      <c r="I30" s="356" t="s">
        <v>708</v>
      </c>
      <c r="J30" s="357">
        <v>20.0</v>
      </c>
      <c r="K30" s="356" t="s">
        <v>709</v>
      </c>
      <c r="L30" s="344">
        <v>20.0</v>
      </c>
      <c r="M30" s="344">
        <v>30.0</v>
      </c>
      <c r="N30" s="357" t="s">
        <v>62</v>
      </c>
      <c r="O30" s="356" t="s">
        <v>68</v>
      </c>
      <c r="P30" s="357">
        <v>10.0</v>
      </c>
      <c r="Q30" s="347"/>
    </row>
    <row r="31" ht="16.5" customHeight="1">
      <c r="A31" s="347"/>
      <c r="B31" s="356" t="s">
        <v>710</v>
      </c>
      <c r="C31" s="357">
        <v>8.0</v>
      </c>
      <c r="D31" s="371" t="s">
        <v>711</v>
      </c>
      <c r="E31" s="344" t="s">
        <v>712</v>
      </c>
      <c r="F31" s="357">
        <v>1.0</v>
      </c>
      <c r="G31" s="356" t="s">
        <v>713</v>
      </c>
      <c r="H31" s="357">
        <v>12.0</v>
      </c>
      <c r="I31" s="356" t="s">
        <v>714</v>
      </c>
      <c r="J31" s="357">
        <v>10.0</v>
      </c>
      <c r="K31" s="356" t="s">
        <v>713</v>
      </c>
      <c r="L31" s="344">
        <v>50.0</v>
      </c>
      <c r="M31" s="344">
        <v>80.0</v>
      </c>
      <c r="N31" s="357">
        <v>220.0</v>
      </c>
      <c r="O31" s="356" t="s">
        <v>715</v>
      </c>
      <c r="P31" s="357">
        <v>5.0</v>
      </c>
      <c r="Q31" s="347"/>
    </row>
    <row r="32" ht="16.5" customHeight="1">
      <c r="A32" s="347"/>
      <c r="B32" s="356" t="s">
        <v>716</v>
      </c>
      <c r="C32" s="357">
        <v>5.0</v>
      </c>
      <c r="D32" s="356" t="s">
        <v>717</v>
      </c>
      <c r="E32" s="344" t="s">
        <v>706</v>
      </c>
      <c r="F32" s="357">
        <v>1.0</v>
      </c>
      <c r="G32" s="356" t="s">
        <v>718</v>
      </c>
      <c r="H32" s="357">
        <v>4.0</v>
      </c>
      <c r="I32" s="356" t="s">
        <v>709</v>
      </c>
      <c r="J32" s="357">
        <v>10.0</v>
      </c>
      <c r="K32" s="356" t="s">
        <v>719</v>
      </c>
      <c r="L32" s="344">
        <v>15.0</v>
      </c>
      <c r="M32" s="344">
        <v>25.0</v>
      </c>
      <c r="N32" s="357">
        <v>40.0</v>
      </c>
      <c r="O32" s="356" t="s">
        <v>720</v>
      </c>
      <c r="P32" s="357">
        <v>10.0</v>
      </c>
      <c r="Q32" s="347"/>
    </row>
    <row r="33" ht="16.5" customHeight="1">
      <c r="A33" s="347"/>
      <c r="B33" s="356" t="s">
        <v>721</v>
      </c>
      <c r="C33" s="357">
        <v>10.0</v>
      </c>
      <c r="D33" s="356" t="s">
        <v>722</v>
      </c>
      <c r="E33" s="344" t="s">
        <v>706</v>
      </c>
      <c r="F33" s="357">
        <v>1.1</v>
      </c>
      <c r="G33" s="356" t="s">
        <v>723</v>
      </c>
      <c r="H33" s="357">
        <v>0.0</v>
      </c>
      <c r="I33" s="356" t="s">
        <v>724</v>
      </c>
      <c r="J33" s="357">
        <v>0.0</v>
      </c>
      <c r="K33" s="356" t="s">
        <v>725</v>
      </c>
      <c r="L33" s="344">
        <v>20.0</v>
      </c>
      <c r="M33" s="344">
        <v>30.0</v>
      </c>
      <c r="N33" s="357">
        <v>150.0</v>
      </c>
      <c r="O33" s="356" t="s">
        <v>726</v>
      </c>
      <c r="P33" s="357">
        <v>15.0</v>
      </c>
      <c r="Q33" s="347"/>
    </row>
    <row r="34" ht="16.5" customHeight="1">
      <c r="A34" s="347"/>
      <c r="B34" s="356" t="s">
        <v>727</v>
      </c>
      <c r="C34" s="357">
        <v>15.0</v>
      </c>
      <c r="D34" s="356" t="s">
        <v>728</v>
      </c>
      <c r="E34" s="344" t="s">
        <v>729</v>
      </c>
      <c r="F34" s="357">
        <v>0.9</v>
      </c>
      <c r="G34" s="356" t="s">
        <v>730</v>
      </c>
      <c r="H34" s="357">
        <v>8.0</v>
      </c>
      <c r="I34" s="356" t="s">
        <v>731</v>
      </c>
      <c r="J34" s="357">
        <v>15.0</v>
      </c>
      <c r="K34" s="356" t="s">
        <v>732</v>
      </c>
      <c r="L34" s="344">
        <v>5.0</v>
      </c>
      <c r="M34" s="344">
        <v>10.0</v>
      </c>
      <c r="N34" s="357">
        <v>50.0</v>
      </c>
      <c r="O34" s="356" t="s">
        <v>733</v>
      </c>
      <c r="P34" s="357">
        <v>20.0</v>
      </c>
      <c r="Q34" s="347"/>
    </row>
    <row r="35" ht="16.5" customHeight="1">
      <c r="A35" s="347"/>
      <c r="B35" s="356" t="s">
        <v>734</v>
      </c>
      <c r="C35" s="357">
        <v>20.0</v>
      </c>
      <c r="D35" s="356" t="s">
        <v>735</v>
      </c>
      <c r="E35" s="344" t="s">
        <v>729</v>
      </c>
      <c r="F35" s="357">
        <v>1.25</v>
      </c>
      <c r="G35" s="356" t="s">
        <v>736</v>
      </c>
      <c r="H35" s="357">
        <v>6.0</v>
      </c>
      <c r="I35" s="356" t="s">
        <v>737</v>
      </c>
      <c r="J35" s="357">
        <v>12.0</v>
      </c>
      <c r="K35" s="356" t="s">
        <v>738</v>
      </c>
      <c r="L35" s="344">
        <v>40.0</v>
      </c>
      <c r="M35" s="344">
        <v>60.0</v>
      </c>
      <c r="N35" s="357">
        <v>180.0</v>
      </c>
      <c r="O35" s="356" t="s">
        <v>739</v>
      </c>
      <c r="P35" s="357">
        <v>25.0</v>
      </c>
      <c r="Q35" s="347"/>
    </row>
    <row r="36" ht="16.5" customHeight="1">
      <c r="A36" s="347"/>
      <c r="B36" s="363" t="s">
        <v>740</v>
      </c>
      <c r="C36" s="365">
        <v>100.0</v>
      </c>
      <c r="D36" s="363" t="s">
        <v>741</v>
      </c>
      <c r="E36" s="364" t="s">
        <v>729</v>
      </c>
      <c r="F36" s="365">
        <v>1.5</v>
      </c>
      <c r="G36" s="356" t="s">
        <v>742</v>
      </c>
      <c r="H36" s="357">
        <v>10.0</v>
      </c>
      <c r="I36" s="356" t="s">
        <v>742</v>
      </c>
      <c r="J36" s="357">
        <v>20.0</v>
      </c>
      <c r="K36" s="356" t="s">
        <v>730</v>
      </c>
      <c r="L36" s="344">
        <v>30.0</v>
      </c>
      <c r="M36" s="344">
        <v>45.0</v>
      </c>
      <c r="N36" s="357">
        <v>200.0</v>
      </c>
      <c r="O36" s="356" t="s">
        <v>743</v>
      </c>
      <c r="P36" s="357">
        <v>30.0</v>
      </c>
      <c r="Q36" s="347"/>
    </row>
    <row r="37" ht="16.5" customHeight="1">
      <c r="A37" s="347"/>
      <c r="B37" s="350" t="s">
        <v>744</v>
      </c>
      <c r="C37" s="54"/>
      <c r="D37" s="54"/>
      <c r="E37" s="79"/>
      <c r="F37" s="1"/>
      <c r="G37" s="356" t="s">
        <v>745</v>
      </c>
      <c r="H37" s="357">
        <v>4.0</v>
      </c>
      <c r="I37" s="356" t="s">
        <v>746</v>
      </c>
      <c r="J37" s="357">
        <v>6.0</v>
      </c>
      <c r="K37" s="356" t="s">
        <v>742</v>
      </c>
      <c r="L37" s="344">
        <v>60.0</v>
      </c>
      <c r="M37" s="344">
        <v>90.0</v>
      </c>
      <c r="N37" s="357">
        <v>400.0</v>
      </c>
      <c r="O37" s="356" t="s">
        <v>747</v>
      </c>
      <c r="P37" s="357">
        <v>5.0</v>
      </c>
      <c r="Q37" s="347"/>
    </row>
    <row r="38" ht="16.5" customHeight="1">
      <c r="A38" s="347"/>
      <c r="B38" s="351" t="s">
        <v>135</v>
      </c>
      <c r="C38" s="353" t="s">
        <v>748</v>
      </c>
      <c r="D38" s="353" t="s">
        <v>40</v>
      </c>
      <c r="E38" s="352" t="s">
        <v>143</v>
      </c>
      <c r="F38" s="1"/>
      <c r="G38" s="356" t="s">
        <v>749</v>
      </c>
      <c r="H38" s="357">
        <v>0.0</v>
      </c>
      <c r="I38" s="356" t="s">
        <v>750</v>
      </c>
      <c r="J38" s="357">
        <v>2.0</v>
      </c>
      <c r="K38" s="356" t="s">
        <v>751</v>
      </c>
      <c r="L38" s="344">
        <v>10.0</v>
      </c>
      <c r="M38" s="344">
        <v>15.0</v>
      </c>
      <c r="N38" s="357">
        <v>75.0</v>
      </c>
      <c r="O38" s="356" t="s">
        <v>752</v>
      </c>
      <c r="P38" s="357">
        <v>5.0</v>
      </c>
      <c r="Q38" s="347"/>
    </row>
    <row r="39" ht="16.5" customHeight="1">
      <c r="A39" s="347"/>
      <c r="B39" s="356" t="s">
        <v>406</v>
      </c>
      <c r="C39" s="344" t="s">
        <v>753</v>
      </c>
      <c r="D39" s="344">
        <v>-4.0</v>
      </c>
      <c r="E39" s="357">
        <v>0.0</v>
      </c>
      <c r="F39" s="1"/>
      <c r="G39" s="350" t="s">
        <v>754</v>
      </c>
      <c r="H39" s="54"/>
      <c r="I39" s="54"/>
      <c r="J39" s="79"/>
      <c r="K39" s="344" t="s">
        <v>746</v>
      </c>
      <c r="L39" s="344">
        <v>10.0</v>
      </c>
      <c r="M39" s="344">
        <v>15.0</v>
      </c>
      <c r="N39" s="357">
        <v>50.0</v>
      </c>
      <c r="O39" s="356" t="s">
        <v>755</v>
      </c>
      <c r="P39" s="357">
        <v>10.0</v>
      </c>
      <c r="Q39" s="347"/>
    </row>
    <row r="40" ht="16.5" customHeight="1">
      <c r="A40" s="347"/>
      <c r="B40" s="356" t="s">
        <v>756</v>
      </c>
      <c r="C40" s="344" t="s">
        <v>753</v>
      </c>
      <c r="D40" s="344">
        <v>-2.0</v>
      </c>
      <c r="E40" s="357">
        <v>1.0</v>
      </c>
      <c r="F40" s="1"/>
      <c r="G40" s="351" t="s">
        <v>202</v>
      </c>
      <c r="H40" s="353" t="s">
        <v>143</v>
      </c>
      <c r="I40" s="353" t="s">
        <v>757</v>
      </c>
      <c r="J40" s="352" t="s">
        <v>230</v>
      </c>
      <c r="K40" s="344" t="s">
        <v>750</v>
      </c>
      <c r="L40" s="344">
        <v>2.0</v>
      </c>
      <c r="M40" s="344">
        <v>5.0</v>
      </c>
      <c r="N40" s="357">
        <v>25.0</v>
      </c>
      <c r="O40" s="356" t="s">
        <v>758</v>
      </c>
      <c r="P40" s="357">
        <v>15.0</v>
      </c>
      <c r="Q40" s="347"/>
    </row>
    <row r="41" ht="16.5" customHeight="1">
      <c r="A41" s="347"/>
      <c r="B41" s="356" t="s">
        <v>759</v>
      </c>
      <c r="C41" s="344" t="s">
        <v>760</v>
      </c>
      <c r="D41" s="344">
        <v>0.0</v>
      </c>
      <c r="E41" s="357">
        <v>2.0</v>
      </c>
      <c r="F41" s="1"/>
      <c r="G41" s="356" t="s">
        <v>761</v>
      </c>
      <c r="H41" s="344">
        <v>2500.0</v>
      </c>
      <c r="I41" s="344">
        <v>12000.0</v>
      </c>
      <c r="J41" s="357">
        <v>21.0</v>
      </c>
      <c r="K41" s="364" t="s">
        <v>762</v>
      </c>
      <c r="L41" s="364">
        <v>60.0</v>
      </c>
      <c r="M41" s="364">
        <v>90.0</v>
      </c>
      <c r="N41" s="365">
        <v>270.0</v>
      </c>
      <c r="O41" s="356" t="s">
        <v>441</v>
      </c>
      <c r="P41" s="357">
        <v>0.0</v>
      </c>
      <c r="Q41" s="347"/>
    </row>
    <row r="42" ht="16.5" customHeight="1">
      <c r="A42" s="347"/>
      <c r="B42" s="356" t="s">
        <v>763</v>
      </c>
      <c r="C42" s="344" t="s">
        <v>764</v>
      </c>
      <c r="D42" s="344">
        <v>1.0</v>
      </c>
      <c r="E42" s="357">
        <v>4.0</v>
      </c>
      <c r="F42" s="1"/>
      <c r="G42" s="356" t="s">
        <v>765</v>
      </c>
      <c r="H42" s="344">
        <v>1000.0</v>
      </c>
      <c r="I42" s="344">
        <v>7500.0</v>
      </c>
      <c r="J42" s="357">
        <v>12.0</v>
      </c>
      <c r="K42" s="1"/>
      <c r="L42" s="1"/>
      <c r="M42" s="1"/>
      <c r="N42" s="1"/>
      <c r="O42" s="356" t="s">
        <v>444</v>
      </c>
      <c r="P42" s="357">
        <v>0.0</v>
      </c>
      <c r="Q42" s="347"/>
    </row>
    <row r="43" ht="16.5" customHeight="1">
      <c r="A43" s="347"/>
      <c r="B43" s="363" t="s">
        <v>766</v>
      </c>
      <c r="C43" s="364" t="s">
        <v>767</v>
      </c>
      <c r="D43" s="364">
        <v>2.0</v>
      </c>
      <c r="E43" s="365">
        <v>6.0</v>
      </c>
      <c r="F43" s="1"/>
      <c r="G43" s="356" t="s">
        <v>768</v>
      </c>
      <c r="H43" s="344">
        <v>1000.0</v>
      </c>
      <c r="I43" s="344">
        <v>3500.0</v>
      </c>
      <c r="J43" s="357">
        <v>11.0</v>
      </c>
      <c r="K43" s="1"/>
      <c r="L43" s="1"/>
      <c r="M43" s="1"/>
      <c r="N43" s="1"/>
      <c r="O43" s="356" t="s">
        <v>769</v>
      </c>
      <c r="P43" s="357">
        <v>12.0</v>
      </c>
      <c r="Q43" s="347"/>
    </row>
    <row r="44" ht="16.5" customHeight="1">
      <c r="A44" s="347"/>
      <c r="B44" s="1"/>
      <c r="C44" s="1"/>
      <c r="D44" s="1"/>
      <c r="E44" s="1"/>
      <c r="F44" s="1"/>
      <c r="G44" s="356" t="s">
        <v>751</v>
      </c>
      <c r="H44" s="344">
        <v>500.0</v>
      </c>
      <c r="I44" s="344">
        <v>3500.0</v>
      </c>
      <c r="J44" s="357">
        <v>10.0</v>
      </c>
      <c r="K44" s="1"/>
      <c r="L44" s="1"/>
      <c r="M44" s="1"/>
      <c r="N44" s="1"/>
      <c r="O44" s="356" t="s">
        <v>770</v>
      </c>
      <c r="P44" s="357">
        <v>15.0</v>
      </c>
      <c r="Q44" s="347"/>
    </row>
    <row r="45" ht="16.5" customHeight="1">
      <c r="A45" s="347"/>
      <c r="B45" s="1"/>
      <c r="C45" s="1"/>
      <c r="D45" s="1"/>
      <c r="E45" s="1"/>
      <c r="F45" s="1"/>
      <c r="G45" s="363" t="s">
        <v>771</v>
      </c>
      <c r="H45" s="364">
        <v>6000.0</v>
      </c>
      <c r="I45" s="364">
        <v>20000.0</v>
      </c>
      <c r="J45" s="365">
        <v>16.0</v>
      </c>
      <c r="K45" s="1"/>
      <c r="L45" s="1"/>
      <c r="M45" s="1"/>
      <c r="N45" s="1"/>
      <c r="O45" s="356" t="s">
        <v>772</v>
      </c>
      <c r="P45" s="357">
        <v>10.0</v>
      </c>
      <c r="Q45" s="347"/>
    </row>
    <row r="46" ht="16.5" customHeight="1">
      <c r="A46" s="347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356" t="s">
        <v>773</v>
      </c>
      <c r="P46" s="357">
        <v>5.0</v>
      </c>
      <c r="Q46" s="347"/>
    </row>
    <row r="47" ht="16.5" customHeight="1">
      <c r="A47" s="347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356" t="s">
        <v>774</v>
      </c>
      <c r="P47" s="357">
        <v>10.0</v>
      </c>
      <c r="Q47" s="347"/>
    </row>
    <row r="48" ht="16.5" customHeight="1">
      <c r="A48" s="347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356" t="s">
        <v>775</v>
      </c>
      <c r="P48" s="357">
        <v>15.0</v>
      </c>
      <c r="Q48" s="347"/>
    </row>
    <row r="49" ht="16.5" customHeight="1">
      <c r="A49" s="347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356" t="s">
        <v>776</v>
      </c>
      <c r="P49" s="357">
        <v>5.0</v>
      </c>
      <c r="Q49" s="347"/>
    </row>
    <row r="50" ht="16.5" customHeight="1">
      <c r="A50" s="34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356" t="s">
        <v>777</v>
      </c>
      <c r="P50" s="357">
        <v>10.0</v>
      </c>
      <c r="Q50" s="347"/>
    </row>
    <row r="51" ht="16.5" customHeight="1">
      <c r="A51" s="347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356" t="s">
        <v>778</v>
      </c>
      <c r="P51" s="357">
        <v>15.0</v>
      </c>
      <c r="Q51" s="347"/>
    </row>
    <row r="52" ht="16.5" customHeight="1">
      <c r="A52" s="34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363" t="s">
        <v>779</v>
      </c>
      <c r="P52" s="365">
        <v>1.0</v>
      </c>
      <c r="Q52" s="347"/>
    </row>
    <row r="53" ht="6.0" customHeight="1">
      <c r="A53" s="347"/>
      <c r="B53" s="347"/>
      <c r="C53" s="347"/>
      <c r="D53" s="347"/>
      <c r="E53" s="347"/>
      <c r="F53" s="347"/>
      <c r="G53" s="347"/>
      <c r="H53" s="347"/>
      <c r="I53" s="347"/>
      <c r="J53" s="347"/>
      <c r="K53" s="347"/>
      <c r="L53" s="347"/>
      <c r="M53" s="347"/>
      <c r="N53" s="347"/>
      <c r="O53" s="347"/>
      <c r="P53" s="347"/>
      <c r="Q53" s="347"/>
    </row>
  </sheetData>
  <mergeCells count="15">
    <mergeCell ref="D14:F14"/>
    <mergeCell ref="D28:F28"/>
    <mergeCell ref="G28:H28"/>
    <mergeCell ref="I28:J28"/>
    <mergeCell ref="K28:N28"/>
    <mergeCell ref="B29:C29"/>
    <mergeCell ref="B37:E37"/>
    <mergeCell ref="G39:J39"/>
    <mergeCell ref="B2:C2"/>
    <mergeCell ref="D2:F2"/>
    <mergeCell ref="G2:I2"/>
    <mergeCell ref="K2:L2"/>
    <mergeCell ref="M2:N2"/>
    <mergeCell ref="O2:P2"/>
    <mergeCell ref="B13:C13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F9000"/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1.29"/>
    <col customWidth="1" min="2" max="2" width="13.86"/>
    <col customWidth="1" min="3" max="3" width="7.0"/>
    <col customWidth="1" min="4" max="8" width="3.57"/>
    <col customWidth="1" min="9" max="9" width="17.29"/>
    <col customWidth="1" min="10" max="10" width="4.71"/>
    <col customWidth="1" min="11" max="13" width="13.86"/>
    <col customWidth="1" min="14" max="14" width="10.43"/>
    <col customWidth="1" min="15" max="15" width="3.57"/>
    <col customWidth="1" min="16" max="16" width="4.71"/>
    <col customWidth="1" min="17" max="18" width="13.86"/>
    <col customWidth="1" min="19" max="19" width="7.0"/>
    <col customWidth="1" min="20" max="20" width="20.71"/>
    <col customWidth="1" min="21" max="21" width="1.29"/>
  </cols>
  <sheetData>
    <row r="1" ht="36.0" customHeight="1">
      <c r="A1" s="1"/>
      <c r="B1" s="3" t="s">
        <v>780</v>
      </c>
      <c r="C1" s="4"/>
      <c r="D1" s="4"/>
      <c r="E1" s="4"/>
      <c r="F1" s="4"/>
      <c r="G1" s="4"/>
      <c r="H1" s="4"/>
      <c r="I1" s="4"/>
      <c r="J1" s="1"/>
      <c r="K1" s="3" t="s">
        <v>781</v>
      </c>
      <c r="L1" s="4"/>
      <c r="M1" s="4"/>
      <c r="N1" s="4"/>
      <c r="O1" s="4"/>
      <c r="P1" s="1"/>
      <c r="Q1" s="3" t="s">
        <v>782</v>
      </c>
      <c r="R1" s="4"/>
      <c r="S1" s="4"/>
      <c r="T1" s="4"/>
      <c r="U1" s="61"/>
    </row>
    <row r="2" ht="16.5" customHeight="1">
      <c r="A2" s="1"/>
      <c r="B2" s="80" t="s">
        <v>783</v>
      </c>
      <c r="J2" s="1"/>
      <c r="K2" s="62" t="s">
        <v>784</v>
      </c>
      <c r="L2" s="169" t="str">
        <f>Profile!M3</f>
        <v/>
      </c>
      <c r="M2" s="15"/>
      <c r="N2" s="15"/>
      <c r="O2" s="9"/>
      <c r="P2" s="1"/>
      <c r="Q2" s="1"/>
      <c r="R2" s="6" t="s">
        <v>785</v>
      </c>
      <c r="U2" s="1"/>
    </row>
    <row r="3" ht="16.5" customHeight="1">
      <c r="A3" s="1"/>
      <c r="J3" s="1"/>
      <c r="K3" s="62" t="s">
        <v>786</v>
      </c>
      <c r="L3" s="372" t="str">
        <f>Profile!F3</f>
        <v/>
      </c>
      <c r="M3" s="62" t="s">
        <v>8</v>
      </c>
      <c r="N3" s="265" t="str">
        <f>Profile!L3</f>
        <v/>
      </c>
      <c r="O3" s="9"/>
      <c r="P3" s="1"/>
      <c r="Q3" s="62" t="s">
        <v>787</v>
      </c>
      <c r="R3" s="373" t="str">
        <f>Profile!D6</f>
        <v/>
      </c>
      <c r="S3" s="374"/>
      <c r="T3" s="375" t="str">
        <f>Profile!M6</f>
        <v/>
      </c>
      <c r="U3" s="1"/>
    </row>
    <row r="4" ht="16.5" customHeight="1">
      <c r="A4" s="1"/>
      <c r="B4" s="91"/>
      <c r="C4" s="91"/>
      <c r="D4" s="376">
        <v>1.0</v>
      </c>
      <c r="E4" s="376">
        <v>2.0</v>
      </c>
      <c r="F4" s="376">
        <v>3.0</v>
      </c>
      <c r="G4" s="376">
        <v>4.0</v>
      </c>
      <c r="H4" s="376">
        <v>5.0</v>
      </c>
      <c r="I4" s="91"/>
      <c r="J4" s="1"/>
      <c r="K4" s="62" t="s">
        <v>7</v>
      </c>
      <c r="L4" s="377" t="str">
        <f>Profile!K3</f>
        <v/>
      </c>
      <c r="M4" s="62" t="s">
        <v>5</v>
      </c>
      <c r="N4" s="265" t="str">
        <f>Profile!G3</f>
        <v/>
      </c>
      <c r="O4" s="9"/>
      <c r="P4" s="1"/>
      <c r="R4" s="378" t="str">
        <f>IF(Profile!H6&lt;&gt;"",Profile!H6 &amp; ", ","") &amp; IF(Profile!F6&lt;&gt;"",Profile!F6 &amp; " ","") &amp; Profile!L6</f>
        <v/>
      </c>
      <c r="S4" s="50"/>
      <c r="T4" s="51"/>
      <c r="U4" s="1"/>
    </row>
    <row r="5" ht="16.5" customHeight="1">
      <c r="A5" s="1"/>
      <c r="B5" s="379" t="s">
        <v>788</v>
      </c>
      <c r="D5" s="145" t="b">
        <v>0</v>
      </c>
      <c r="E5" s="145" t="b">
        <v>0</v>
      </c>
      <c r="F5" s="145" t="b">
        <v>0</v>
      </c>
      <c r="G5" s="145" t="b">
        <v>0</v>
      </c>
      <c r="H5" s="145" t="b">
        <v>0</v>
      </c>
      <c r="I5" s="321" t="s">
        <v>789</v>
      </c>
      <c r="J5" s="1"/>
      <c r="K5" s="62" t="s">
        <v>790</v>
      </c>
      <c r="L5" s="380"/>
      <c r="M5" s="62" t="s">
        <v>791</v>
      </c>
      <c r="N5" s="381"/>
      <c r="O5" s="9"/>
      <c r="P5" s="1"/>
      <c r="Q5" s="80" t="s">
        <v>792</v>
      </c>
      <c r="U5" s="1"/>
    </row>
    <row r="6" ht="16.5" customHeight="1">
      <c r="A6" s="1"/>
      <c r="B6" s="379" t="s">
        <v>793</v>
      </c>
      <c r="D6" s="145" t="b">
        <v>0</v>
      </c>
      <c r="E6" s="145" t="b">
        <v>0</v>
      </c>
      <c r="F6" s="145" t="b">
        <v>0</v>
      </c>
      <c r="G6" s="145" t="b">
        <v>0</v>
      </c>
      <c r="H6" s="145" t="b">
        <v>0</v>
      </c>
      <c r="I6" s="321" t="s">
        <v>794</v>
      </c>
      <c r="J6" s="1"/>
      <c r="K6" s="62" t="s">
        <v>795</v>
      </c>
      <c r="L6" s="380"/>
      <c r="M6" s="62" t="s">
        <v>796</v>
      </c>
      <c r="N6" s="381"/>
      <c r="O6" s="9"/>
      <c r="P6" s="1"/>
      <c r="U6" s="1"/>
    </row>
    <row r="7" ht="16.5" customHeight="1">
      <c r="A7" s="1"/>
      <c r="B7" s="379" t="s">
        <v>797</v>
      </c>
      <c r="D7" s="145" t="b">
        <v>0</v>
      </c>
      <c r="E7" s="145" t="b">
        <v>0</v>
      </c>
      <c r="F7" s="145" t="b">
        <v>0</v>
      </c>
      <c r="G7" s="145" t="b">
        <v>0</v>
      </c>
      <c r="H7" s="145" t="b">
        <v>0</v>
      </c>
      <c r="I7" s="321" t="s">
        <v>798</v>
      </c>
      <c r="J7" s="1"/>
      <c r="K7" s="307" t="s">
        <v>799</v>
      </c>
      <c r="L7" s="245"/>
      <c r="M7" s="22"/>
      <c r="N7" s="22"/>
      <c r="O7" s="25"/>
      <c r="P7" s="1"/>
      <c r="Q7" s="382" t="s">
        <v>800</v>
      </c>
      <c r="R7" s="381"/>
      <c r="S7" s="15"/>
      <c r="T7" s="9"/>
      <c r="U7" s="1"/>
    </row>
    <row r="8" ht="16.5" customHeight="1">
      <c r="A8" s="1"/>
      <c r="B8" s="379" t="s">
        <v>801</v>
      </c>
      <c r="D8" s="145" t="b">
        <v>0</v>
      </c>
      <c r="E8" s="145" t="b">
        <v>0</v>
      </c>
      <c r="F8" s="145" t="b">
        <v>0</v>
      </c>
      <c r="G8" s="145" t="b">
        <v>0</v>
      </c>
      <c r="H8" s="145" t="b">
        <v>0</v>
      </c>
      <c r="I8" s="321" t="s">
        <v>802</v>
      </c>
      <c r="J8" s="1"/>
      <c r="L8" s="220"/>
      <c r="M8" s="216"/>
      <c r="N8" s="216"/>
      <c r="O8" s="199"/>
      <c r="P8" s="1"/>
      <c r="Q8" s="307" t="s">
        <v>803</v>
      </c>
      <c r="R8" s="254"/>
      <c r="S8" s="4"/>
      <c r="T8" s="257"/>
      <c r="U8" s="1"/>
    </row>
    <row r="9" ht="16.5" customHeight="1">
      <c r="A9" s="1"/>
      <c r="B9" s="379" t="s">
        <v>804</v>
      </c>
      <c r="D9" s="145" t="b">
        <v>0</v>
      </c>
      <c r="E9" s="145" t="b">
        <v>0</v>
      </c>
      <c r="F9" s="145" t="b">
        <v>0</v>
      </c>
      <c r="G9" s="145" t="b">
        <v>0</v>
      </c>
      <c r="H9" s="145" t="b">
        <v>0</v>
      </c>
      <c r="I9" s="321" t="s">
        <v>805</v>
      </c>
      <c r="J9" s="1"/>
      <c r="L9" s="85"/>
      <c r="M9" s="27"/>
      <c r="N9" s="27"/>
      <c r="O9" s="30"/>
      <c r="P9" s="1"/>
      <c r="R9" s="220"/>
      <c r="S9" s="216"/>
      <c r="T9" s="199"/>
      <c r="U9" s="1"/>
    </row>
    <row r="10" ht="16.5" customHeight="1">
      <c r="A10" s="1"/>
      <c r="B10" s="379" t="s">
        <v>806</v>
      </c>
      <c r="D10" s="145" t="b">
        <v>0</v>
      </c>
      <c r="E10" s="145" t="b">
        <v>0</v>
      </c>
      <c r="F10" s="145" t="b">
        <v>0</v>
      </c>
      <c r="G10" s="145" t="b">
        <v>0</v>
      </c>
      <c r="H10" s="145" t="b">
        <v>0</v>
      </c>
      <c r="I10" s="321" t="s">
        <v>807</v>
      </c>
      <c r="J10" s="1"/>
      <c r="K10" s="80" t="s">
        <v>808</v>
      </c>
      <c r="P10" s="1"/>
      <c r="R10" s="85"/>
      <c r="S10" s="27"/>
      <c r="T10" s="30"/>
      <c r="U10" s="1"/>
    </row>
    <row r="11" ht="16.5" customHeight="1">
      <c r="A11" s="1"/>
      <c r="B11" s="62" t="s">
        <v>809</v>
      </c>
      <c r="D11" s="145" t="b">
        <v>0</v>
      </c>
      <c r="E11" s="145" t="b">
        <v>0</v>
      </c>
      <c r="F11" s="145" t="b">
        <v>0</v>
      </c>
      <c r="G11" s="145" t="b">
        <v>0</v>
      </c>
      <c r="H11" s="145" t="b">
        <v>0</v>
      </c>
      <c r="I11" s="127" t="s">
        <v>810</v>
      </c>
      <c r="J11" s="1"/>
      <c r="P11" s="1"/>
      <c r="Q11" s="307" t="s">
        <v>811</v>
      </c>
      <c r="R11" s="381"/>
      <c r="S11" s="15"/>
      <c r="T11" s="9"/>
      <c r="U11" s="1"/>
    </row>
    <row r="12" ht="16.5" customHeight="1">
      <c r="A12" s="1"/>
      <c r="B12" s="62" t="s">
        <v>812</v>
      </c>
      <c r="D12" s="145" t="b">
        <v>0</v>
      </c>
      <c r="E12" s="145" t="b">
        <v>0</v>
      </c>
      <c r="F12" s="145" t="b">
        <v>0</v>
      </c>
      <c r="G12" s="145" t="b">
        <v>0</v>
      </c>
      <c r="H12" s="145" t="b">
        <v>0</v>
      </c>
      <c r="I12" s="127" t="s">
        <v>813</v>
      </c>
      <c r="J12" s="1"/>
      <c r="K12" s="157" t="s">
        <v>814</v>
      </c>
      <c r="L12" s="380"/>
      <c r="M12" s="157" t="s">
        <v>815</v>
      </c>
      <c r="N12" s="381"/>
      <c r="O12" s="9"/>
      <c r="P12" s="1"/>
      <c r="Q12" s="307" t="s">
        <v>816</v>
      </c>
      <c r="R12" s="245"/>
      <c r="S12" s="22"/>
      <c r="T12" s="25"/>
      <c r="U12" s="1"/>
    </row>
    <row r="13" ht="16.5" customHeight="1">
      <c r="A13" s="1"/>
      <c r="B13" s="379" t="s">
        <v>817</v>
      </c>
      <c r="D13" s="145" t="b">
        <v>0</v>
      </c>
      <c r="E13" s="145" t="b">
        <v>0</v>
      </c>
      <c r="F13" s="145" t="b">
        <v>0</v>
      </c>
      <c r="G13" s="145" t="b">
        <v>0</v>
      </c>
      <c r="H13" s="145" t="b">
        <v>0</v>
      </c>
      <c r="I13" s="321" t="s">
        <v>818</v>
      </c>
      <c r="J13" s="1"/>
      <c r="K13" s="62" t="s">
        <v>819</v>
      </c>
      <c r="L13" s="380"/>
      <c r="M13" s="62" t="s">
        <v>820</v>
      </c>
      <c r="N13" s="381"/>
      <c r="O13" s="9"/>
      <c r="P13" s="1"/>
      <c r="R13" s="85"/>
      <c r="S13" s="27"/>
      <c r="T13" s="30"/>
      <c r="U13" s="1"/>
    </row>
    <row r="14" ht="16.5" customHeight="1">
      <c r="A14" s="1"/>
      <c r="B14" s="379" t="s">
        <v>821</v>
      </c>
      <c r="D14" s="145" t="b">
        <v>0</v>
      </c>
      <c r="E14" s="145" t="b">
        <v>0</v>
      </c>
      <c r="F14" s="145" t="b">
        <v>0</v>
      </c>
      <c r="G14" s="145" t="b">
        <v>0</v>
      </c>
      <c r="H14" s="145" t="b">
        <v>0</v>
      </c>
      <c r="I14" s="321" t="s">
        <v>822</v>
      </c>
      <c r="J14" s="1"/>
      <c r="K14" s="62" t="s">
        <v>823</v>
      </c>
      <c r="L14" s="380"/>
      <c r="M14" s="62" t="s">
        <v>824</v>
      </c>
      <c r="N14" s="381"/>
      <c r="O14" s="9"/>
      <c r="P14" s="1"/>
      <c r="Q14" s="307" t="s">
        <v>825</v>
      </c>
      <c r="R14" s="245"/>
      <c r="S14" s="22"/>
      <c r="T14" s="25"/>
      <c r="U14" s="1"/>
    </row>
    <row r="15" ht="16.5" customHeight="1">
      <c r="A15" s="1"/>
      <c r="B15" s="379" t="s">
        <v>826</v>
      </c>
      <c r="D15" s="145" t="b">
        <v>0</v>
      </c>
      <c r="E15" s="145" t="b">
        <v>0</v>
      </c>
      <c r="F15" s="145" t="b">
        <v>0</v>
      </c>
      <c r="G15" s="145" t="b">
        <v>0</v>
      </c>
      <c r="H15" s="145" t="b">
        <v>0</v>
      </c>
      <c r="I15" s="321" t="s">
        <v>827</v>
      </c>
      <c r="J15" s="1"/>
      <c r="K15" s="80" t="s">
        <v>828</v>
      </c>
      <c r="P15" s="1"/>
      <c r="R15" s="220"/>
      <c r="S15" s="216"/>
      <c r="T15" s="199"/>
      <c r="U15" s="1"/>
    </row>
    <row r="16" ht="16.5" customHeight="1">
      <c r="A16" s="1"/>
      <c r="B16" s="80" t="s">
        <v>829</v>
      </c>
      <c r="J16" s="1"/>
      <c r="P16" s="1"/>
      <c r="R16" s="220"/>
      <c r="S16" s="216"/>
      <c r="T16" s="199"/>
      <c r="U16" s="1"/>
    </row>
    <row r="17" ht="16.5" customHeight="1">
      <c r="A17" s="1"/>
      <c r="J17" s="1"/>
      <c r="K17" s="382" t="s">
        <v>830</v>
      </c>
      <c r="L17" s="245"/>
      <c r="M17" s="22"/>
      <c r="N17" s="22"/>
      <c r="O17" s="25"/>
      <c r="P17" s="1"/>
      <c r="R17" s="85"/>
      <c r="S17" s="27"/>
      <c r="T17" s="30"/>
      <c r="U17" s="1"/>
    </row>
    <row r="18" ht="16.5" customHeight="1">
      <c r="A18" s="1"/>
      <c r="B18" s="382" t="s">
        <v>831</v>
      </c>
      <c r="C18" s="245"/>
      <c r="D18" s="22"/>
      <c r="E18" s="22"/>
      <c r="F18" s="22"/>
      <c r="G18" s="23"/>
      <c r="H18" s="194"/>
      <c r="I18" s="25"/>
      <c r="J18" s="1"/>
      <c r="L18" s="220"/>
      <c r="M18" s="216"/>
      <c r="N18" s="216"/>
      <c r="O18" s="199"/>
      <c r="P18" s="1"/>
      <c r="Q18" s="307" t="s">
        <v>832</v>
      </c>
      <c r="R18" s="245"/>
      <c r="S18" s="22"/>
      <c r="T18" s="25"/>
      <c r="U18" s="1"/>
    </row>
    <row r="19" ht="16.5" customHeight="1">
      <c r="A19" s="1"/>
      <c r="C19" s="220"/>
      <c r="D19" s="216"/>
      <c r="E19" s="216"/>
      <c r="F19" s="216"/>
      <c r="G19" s="216"/>
      <c r="H19" s="198"/>
      <c r="I19" s="199"/>
      <c r="J19" s="1"/>
      <c r="L19" s="85"/>
      <c r="M19" s="27"/>
      <c r="N19" s="27"/>
      <c r="O19" s="30"/>
      <c r="P19" s="1"/>
      <c r="R19" s="85"/>
      <c r="S19" s="27"/>
      <c r="T19" s="30"/>
      <c r="U19" s="1"/>
    </row>
    <row r="20" ht="16.5" customHeight="1">
      <c r="A20" s="1"/>
      <c r="C20" s="85"/>
      <c r="D20" s="27"/>
      <c r="E20" s="27"/>
      <c r="F20" s="27"/>
      <c r="G20" s="27"/>
      <c r="H20" s="214"/>
      <c r="I20" s="30"/>
      <c r="J20" s="1"/>
      <c r="K20" s="307" t="s">
        <v>833</v>
      </c>
      <c r="L20" s="245"/>
      <c r="M20" s="22"/>
      <c r="N20" s="22"/>
      <c r="O20" s="25"/>
      <c r="P20" s="1"/>
      <c r="Q20" s="307" t="s">
        <v>834</v>
      </c>
      <c r="R20" s="245"/>
      <c r="S20" s="22"/>
      <c r="T20" s="25"/>
      <c r="U20" s="1"/>
    </row>
    <row r="21" ht="16.5" customHeight="1">
      <c r="A21" s="1"/>
      <c r="B21" s="307" t="s">
        <v>835</v>
      </c>
      <c r="C21" s="254"/>
      <c r="D21" s="4"/>
      <c r="E21" s="4"/>
      <c r="F21" s="4"/>
      <c r="G21" s="255"/>
      <c r="H21" s="256"/>
      <c r="I21" s="257"/>
      <c r="J21" s="1"/>
      <c r="L21" s="220"/>
      <c r="M21" s="216"/>
      <c r="N21" s="216"/>
      <c r="O21" s="199"/>
      <c r="P21" s="1"/>
      <c r="R21" s="85"/>
      <c r="S21" s="27"/>
      <c r="T21" s="30"/>
      <c r="U21" s="1"/>
    </row>
    <row r="22" ht="16.5" customHeight="1">
      <c r="A22" s="1"/>
      <c r="C22" s="220"/>
      <c r="D22" s="216"/>
      <c r="E22" s="216"/>
      <c r="F22" s="216"/>
      <c r="G22" s="216"/>
      <c r="H22" s="198"/>
      <c r="I22" s="199"/>
      <c r="J22" s="1"/>
      <c r="L22" s="85"/>
      <c r="M22" s="27"/>
      <c r="N22" s="27"/>
      <c r="O22" s="30"/>
      <c r="P22" s="1"/>
      <c r="Q22" s="307" t="s">
        <v>836</v>
      </c>
      <c r="R22" s="245"/>
      <c r="S22" s="22"/>
      <c r="T22" s="25"/>
      <c r="U22" s="1"/>
    </row>
    <row r="23" ht="16.5" customHeight="1">
      <c r="A23" s="1"/>
      <c r="C23" s="85"/>
      <c r="D23" s="27"/>
      <c r="E23" s="27"/>
      <c r="F23" s="27"/>
      <c r="G23" s="27"/>
      <c r="H23" s="214"/>
      <c r="I23" s="30"/>
      <c r="J23" s="1"/>
      <c r="K23" s="307" t="s">
        <v>837</v>
      </c>
      <c r="L23" s="245"/>
      <c r="M23" s="22"/>
      <c r="N23" s="22"/>
      <c r="O23" s="25"/>
      <c r="P23" s="1"/>
      <c r="R23" s="85"/>
      <c r="S23" s="27"/>
      <c r="T23" s="30"/>
      <c r="U23" s="1"/>
    </row>
    <row r="24" ht="16.5" customHeight="1">
      <c r="A24" s="1"/>
      <c r="B24" s="307" t="s">
        <v>838</v>
      </c>
      <c r="C24" s="245"/>
      <c r="D24" s="22"/>
      <c r="E24" s="22"/>
      <c r="F24" s="22"/>
      <c r="G24" s="23"/>
      <c r="H24" s="194"/>
      <c r="I24" s="25"/>
      <c r="J24" s="1"/>
      <c r="L24" s="220"/>
      <c r="M24" s="216"/>
      <c r="N24" s="216"/>
      <c r="O24" s="199"/>
      <c r="P24" s="1"/>
      <c r="Q24" s="80" t="s">
        <v>839</v>
      </c>
      <c r="U24" s="1"/>
    </row>
    <row r="25" ht="16.5" customHeight="1">
      <c r="A25" s="1"/>
      <c r="C25" s="220"/>
      <c r="D25" s="216"/>
      <c r="E25" s="216"/>
      <c r="F25" s="216"/>
      <c r="G25" s="216"/>
      <c r="H25" s="198"/>
      <c r="I25" s="199"/>
      <c r="J25" s="1"/>
      <c r="L25" s="85"/>
      <c r="M25" s="27"/>
      <c r="N25" s="27"/>
      <c r="O25" s="30"/>
      <c r="P25" s="1"/>
      <c r="U25" s="1"/>
    </row>
    <row r="26" ht="16.5" customHeight="1">
      <c r="A26" s="1"/>
      <c r="C26" s="85"/>
      <c r="D26" s="27"/>
      <c r="E26" s="27"/>
      <c r="F26" s="27"/>
      <c r="G26" s="27"/>
      <c r="H26" s="214"/>
      <c r="I26" s="30"/>
      <c r="J26" s="1"/>
      <c r="K26" s="80" t="s">
        <v>840</v>
      </c>
      <c r="P26" s="1"/>
      <c r="Q26" s="382" t="s">
        <v>841</v>
      </c>
      <c r="R26" s="245"/>
      <c r="S26" s="23"/>
      <c r="T26" s="383"/>
      <c r="U26" s="1"/>
    </row>
    <row r="27" ht="16.5" customHeight="1">
      <c r="A27" s="1"/>
      <c r="B27" s="307" t="s">
        <v>842</v>
      </c>
      <c r="C27" s="245"/>
      <c r="D27" s="22"/>
      <c r="E27" s="22"/>
      <c r="F27" s="22"/>
      <c r="G27" s="22"/>
      <c r="H27" s="194"/>
      <c r="I27" s="25"/>
      <c r="J27" s="1"/>
      <c r="P27" s="1"/>
      <c r="R27" s="85"/>
      <c r="S27" s="28"/>
      <c r="T27" s="384"/>
      <c r="U27" s="1"/>
    </row>
    <row r="28" ht="16.5" customHeight="1">
      <c r="A28" s="1"/>
      <c r="C28" s="220"/>
      <c r="D28" s="216"/>
      <c r="E28" s="216"/>
      <c r="F28" s="216"/>
      <c r="G28" s="216"/>
      <c r="H28" s="198"/>
      <c r="I28" s="199"/>
      <c r="J28" s="1"/>
      <c r="K28" s="385"/>
      <c r="L28" s="54"/>
      <c r="M28" s="54"/>
      <c r="N28" s="54"/>
      <c r="O28" s="79"/>
      <c r="P28" s="1"/>
      <c r="Q28" s="307" t="s">
        <v>843</v>
      </c>
      <c r="R28" s="245"/>
      <c r="S28" s="23"/>
      <c r="T28" s="383"/>
      <c r="U28" s="1"/>
    </row>
    <row r="29" ht="16.5" customHeight="1">
      <c r="A29" s="1"/>
      <c r="C29" s="85"/>
      <c r="D29" s="27"/>
      <c r="E29" s="27"/>
      <c r="F29" s="27"/>
      <c r="G29" s="27"/>
      <c r="H29" s="214"/>
      <c r="I29" s="30"/>
      <c r="J29" s="1"/>
      <c r="K29" s="386"/>
      <c r="O29" s="387"/>
      <c r="P29" s="1"/>
      <c r="R29" s="85"/>
      <c r="S29" s="28"/>
      <c r="T29" s="384"/>
      <c r="U29" s="1"/>
    </row>
    <row r="30" ht="16.5" customHeight="1">
      <c r="A30" s="1"/>
      <c r="B30" s="307" t="s">
        <v>844</v>
      </c>
      <c r="C30" s="381"/>
      <c r="D30" s="15"/>
      <c r="E30" s="15"/>
      <c r="F30" s="15"/>
      <c r="G30" s="15"/>
      <c r="H30" s="15"/>
      <c r="I30" s="9"/>
      <c r="J30" s="1"/>
      <c r="K30" s="280"/>
      <c r="L30" s="263"/>
      <c r="M30" s="263"/>
      <c r="N30" s="263"/>
      <c r="O30" s="163"/>
      <c r="P30" s="1"/>
      <c r="Q30" s="307" t="s">
        <v>845</v>
      </c>
      <c r="R30" s="245"/>
      <c r="S30" s="23"/>
      <c r="T30" s="383"/>
      <c r="U30" s="1"/>
    </row>
    <row r="31" ht="16.5" customHeight="1">
      <c r="A31" s="1"/>
      <c r="B31" s="307" t="s">
        <v>846</v>
      </c>
      <c r="C31" s="381"/>
      <c r="D31" s="15"/>
      <c r="E31" s="15"/>
      <c r="F31" s="15"/>
      <c r="G31" s="15"/>
      <c r="H31" s="15"/>
      <c r="I31" s="9"/>
      <c r="J31" s="1"/>
      <c r="K31" s="2" t="s">
        <v>847</v>
      </c>
      <c r="P31" s="1"/>
      <c r="R31" s="85"/>
      <c r="S31" s="28"/>
      <c r="T31" s="384"/>
      <c r="U31" s="1"/>
    </row>
    <row r="32" ht="16.5" customHeight="1">
      <c r="A32" s="1"/>
      <c r="B32" s="307" t="s">
        <v>848</v>
      </c>
      <c r="C32" s="245"/>
      <c r="D32" s="22"/>
      <c r="E32" s="22"/>
      <c r="F32" s="22"/>
      <c r="G32" s="22"/>
      <c r="H32" s="194"/>
      <c r="I32" s="25"/>
      <c r="J32" s="1"/>
      <c r="P32" s="1"/>
      <c r="Q32" s="307" t="s">
        <v>849</v>
      </c>
      <c r="R32" s="245"/>
      <c r="S32" s="22"/>
      <c r="T32" s="25"/>
      <c r="U32" s="1"/>
    </row>
    <row r="33" ht="16.5" customHeight="1">
      <c r="A33" s="1"/>
      <c r="C33" s="249"/>
      <c r="D33" s="158"/>
      <c r="E33" s="158"/>
      <c r="F33" s="158"/>
      <c r="G33" s="158"/>
      <c r="H33" s="251"/>
      <c r="I33" s="159"/>
      <c r="J33" s="1"/>
      <c r="K33" s="4"/>
      <c r="L33" s="4"/>
      <c r="M33" s="4"/>
      <c r="N33" s="4"/>
      <c r="O33" s="4"/>
      <c r="P33" s="1"/>
      <c r="R33" s="85"/>
      <c r="S33" s="27"/>
      <c r="T33" s="30"/>
      <c r="U33" s="1"/>
    </row>
    <row r="34" ht="16.5" customHeight="1">
      <c r="A34" s="1"/>
      <c r="B34" s="307" t="s">
        <v>850</v>
      </c>
      <c r="C34" s="220"/>
      <c r="D34" s="216"/>
      <c r="E34" s="216"/>
      <c r="F34" s="216"/>
      <c r="G34" s="216"/>
      <c r="H34" s="198"/>
      <c r="I34" s="199"/>
      <c r="J34" s="1"/>
      <c r="K34" s="388" t="s">
        <v>851</v>
      </c>
      <c r="P34" s="1"/>
      <c r="Q34" s="307" t="s">
        <v>852</v>
      </c>
      <c r="R34" s="245"/>
      <c r="S34" s="22"/>
      <c r="T34" s="25"/>
      <c r="U34" s="1"/>
    </row>
    <row r="35" ht="16.5" customHeight="1">
      <c r="A35" s="1"/>
      <c r="C35" s="85"/>
      <c r="D35" s="27"/>
      <c r="E35" s="27"/>
      <c r="F35" s="27"/>
      <c r="G35" s="27"/>
      <c r="H35" s="214"/>
      <c r="I35" s="30"/>
      <c r="J35" s="1"/>
      <c r="K35" s="62" t="s">
        <v>853</v>
      </c>
      <c r="L35" s="381"/>
      <c r="M35" s="9"/>
      <c r="N35" s="61" t="s">
        <v>854</v>
      </c>
      <c r="O35" s="61" t="b">
        <v>1</v>
      </c>
      <c r="P35" s="1"/>
      <c r="R35" s="85"/>
      <c r="S35" s="27"/>
      <c r="T35" s="30"/>
      <c r="U35" s="1"/>
    </row>
    <row r="36" ht="16.5" customHeight="1">
      <c r="A36" s="1"/>
      <c r="B36" s="80" t="s">
        <v>855</v>
      </c>
      <c r="J36" s="1"/>
      <c r="K36" s="62" t="s">
        <v>856</v>
      </c>
      <c r="L36" s="245"/>
      <c r="M36" s="22"/>
      <c r="N36" s="22"/>
      <c r="O36" s="25"/>
      <c r="P36" s="1"/>
      <c r="Q36" s="307" t="s">
        <v>857</v>
      </c>
      <c r="R36" s="245"/>
      <c r="S36" s="22"/>
      <c r="T36" s="25"/>
      <c r="U36" s="1"/>
    </row>
    <row r="37" ht="16.5" customHeight="1">
      <c r="A37" s="1"/>
      <c r="J37" s="1"/>
      <c r="L37" s="220"/>
      <c r="M37" s="216"/>
      <c r="N37" s="216"/>
      <c r="O37" s="199"/>
      <c r="P37" s="1"/>
      <c r="R37" s="85"/>
      <c r="S37" s="27"/>
      <c r="T37" s="30"/>
      <c r="U37" s="1"/>
    </row>
    <row r="38" ht="16.5" customHeight="1">
      <c r="A38" s="1"/>
      <c r="B38" s="382" t="s">
        <v>858</v>
      </c>
      <c r="C38" s="381"/>
      <c r="D38" s="15"/>
      <c r="E38" s="15"/>
      <c r="F38" s="15"/>
      <c r="G38" s="15"/>
      <c r="H38" s="15"/>
      <c r="I38" s="9"/>
      <c r="J38" s="1"/>
      <c r="L38" s="389"/>
      <c r="M38" s="390"/>
      <c r="N38" s="390"/>
      <c r="O38" s="391"/>
      <c r="P38" s="1"/>
      <c r="Q38" s="80" t="s">
        <v>859</v>
      </c>
      <c r="U38" s="1"/>
    </row>
    <row r="39" ht="16.5" customHeight="1">
      <c r="A39" s="1"/>
      <c r="B39" s="307" t="s">
        <v>860</v>
      </c>
      <c r="C39" s="381"/>
      <c r="D39" s="15"/>
      <c r="E39" s="15"/>
      <c r="F39" s="15"/>
      <c r="G39" s="15"/>
      <c r="H39" s="15"/>
      <c r="I39" s="9"/>
      <c r="J39" s="1"/>
      <c r="K39" s="62" t="s">
        <v>861</v>
      </c>
      <c r="L39" s="392"/>
      <c r="M39" s="163"/>
      <c r="N39" s="61" t="s">
        <v>854</v>
      </c>
      <c r="O39" s="61" t="b">
        <v>1</v>
      </c>
      <c r="P39" s="1"/>
      <c r="U39" s="1"/>
    </row>
    <row r="40" ht="16.5" customHeight="1">
      <c r="A40" s="1"/>
      <c r="B40" s="307" t="s">
        <v>862</v>
      </c>
      <c r="C40" s="245"/>
      <c r="D40" s="22"/>
      <c r="E40" s="22"/>
      <c r="F40" s="22"/>
      <c r="G40" s="22"/>
      <c r="H40" s="22"/>
      <c r="I40" s="25"/>
      <c r="J40" s="1"/>
      <c r="K40" s="62" t="s">
        <v>856</v>
      </c>
      <c r="L40" s="245"/>
      <c r="M40" s="22"/>
      <c r="N40" s="22"/>
      <c r="O40" s="25"/>
      <c r="P40" s="1"/>
      <c r="Q40" s="382" t="s">
        <v>863</v>
      </c>
      <c r="R40" s="245"/>
      <c r="S40" s="22"/>
      <c r="T40" s="25"/>
      <c r="U40" s="1"/>
    </row>
    <row r="41" ht="16.5" customHeight="1">
      <c r="A41" s="1"/>
      <c r="C41" s="220"/>
      <c r="D41" s="216"/>
      <c r="E41" s="216"/>
      <c r="F41" s="216"/>
      <c r="G41" s="216"/>
      <c r="H41" s="216"/>
      <c r="I41" s="199"/>
      <c r="J41" s="1"/>
      <c r="L41" s="220"/>
      <c r="M41" s="216"/>
      <c r="N41" s="216"/>
      <c r="O41" s="199"/>
      <c r="P41" s="1"/>
      <c r="R41" s="85"/>
      <c r="S41" s="27"/>
      <c r="T41" s="30"/>
      <c r="U41" s="1"/>
    </row>
    <row r="42" ht="16.5" customHeight="1">
      <c r="A42" s="1"/>
      <c r="C42" s="85"/>
      <c r="D42" s="27"/>
      <c r="E42" s="27"/>
      <c r="F42" s="27"/>
      <c r="G42" s="27"/>
      <c r="H42" s="27"/>
      <c r="I42" s="30"/>
      <c r="J42" s="1"/>
      <c r="L42" s="389"/>
      <c r="M42" s="390"/>
      <c r="N42" s="390"/>
      <c r="O42" s="391"/>
      <c r="P42" s="1"/>
      <c r="Q42" s="307" t="s">
        <v>864</v>
      </c>
      <c r="R42" s="245"/>
      <c r="S42" s="22"/>
      <c r="T42" s="25"/>
      <c r="U42" s="1"/>
    </row>
    <row r="43" ht="16.5" customHeight="1">
      <c r="A43" s="1"/>
      <c r="B43" s="307" t="s">
        <v>865</v>
      </c>
      <c r="C43" s="245"/>
      <c r="D43" s="22"/>
      <c r="E43" s="22"/>
      <c r="F43" s="22"/>
      <c r="G43" s="22"/>
      <c r="H43" s="22"/>
      <c r="I43" s="25"/>
      <c r="J43" s="1"/>
      <c r="K43" s="62" t="s">
        <v>866</v>
      </c>
      <c r="L43" s="392"/>
      <c r="M43" s="163"/>
      <c r="N43" s="61" t="s">
        <v>854</v>
      </c>
      <c r="O43" s="61" t="b">
        <v>1</v>
      </c>
      <c r="P43" s="1"/>
      <c r="R43" s="85"/>
      <c r="S43" s="27"/>
      <c r="T43" s="30"/>
      <c r="U43" s="1"/>
    </row>
    <row r="44" ht="16.5" customHeight="1">
      <c r="A44" s="1"/>
      <c r="C44" s="220"/>
      <c r="D44" s="216"/>
      <c r="E44" s="216"/>
      <c r="F44" s="216"/>
      <c r="G44" s="216"/>
      <c r="H44" s="216"/>
      <c r="I44" s="199"/>
      <c r="J44" s="1"/>
      <c r="K44" s="62" t="s">
        <v>856</v>
      </c>
      <c r="L44" s="245"/>
      <c r="M44" s="22"/>
      <c r="N44" s="22"/>
      <c r="O44" s="25"/>
      <c r="P44" s="1"/>
      <c r="Q44" s="307" t="s">
        <v>867</v>
      </c>
      <c r="R44" s="381"/>
      <c r="S44" s="15"/>
      <c r="T44" s="9"/>
      <c r="U44" s="1"/>
    </row>
    <row r="45" ht="16.5" customHeight="1">
      <c r="A45" s="1"/>
      <c r="C45" s="85"/>
      <c r="D45" s="27"/>
      <c r="E45" s="27"/>
      <c r="F45" s="27"/>
      <c r="G45" s="27"/>
      <c r="H45" s="27"/>
      <c r="I45" s="30"/>
      <c r="J45" s="1"/>
      <c r="L45" s="220"/>
      <c r="M45" s="216"/>
      <c r="N45" s="216"/>
      <c r="O45" s="199"/>
      <c r="P45" s="1"/>
      <c r="Q45" s="80" t="s">
        <v>868</v>
      </c>
      <c r="U45" s="1"/>
    </row>
    <row r="46" ht="16.5" customHeight="1">
      <c r="A46" s="1"/>
      <c r="B46" s="307" t="s">
        <v>869</v>
      </c>
      <c r="C46" s="381"/>
      <c r="D46" s="15"/>
      <c r="E46" s="15"/>
      <c r="F46" s="15"/>
      <c r="G46" s="15"/>
      <c r="H46" s="15"/>
      <c r="I46" s="9"/>
      <c r="J46" s="1"/>
      <c r="L46" s="389"/>
      <c r="M46" s="390"/>
      <c r="N46" s="390"/>
      <c r="O46" s="391"/>
      <c r="P46" s="1"/>
      <c r="U46" s="1"/>
    </row>
    <row r="47" ht="16.5" customHeight="1">
      <c r="A47" s="1"/>
      <c r="B47" s="307" t="s">
        <v>870</v>
      </c>
      <c r="C47" s="381"/>
      <c r="D47" s="15"/>
      <c r="E47" s="15"/>
      <c r="F47" s="15"/>
      <c r="G47" s="15"/>
      <c r="H47" s="15"/>
      <c r="I47" s="9"/>
      <c r="J47" s="1"/>
      <c r="K47" s="62" t="s">
        <v>866</v>
      </c>
      <c r="L47" s="392"/>
      <c r="M47" s="163"/>
      <c r="N47" s="61" t="s">
        <v>854</v>
      </c>
      <c r="O47" s="61" t="b">
        <v>1</v>
      </c>
      <c r="P47" s="1"/>
      <c r="Q47" s="245"/>
      <c r="R47" s="23"/>
      <c r="S47" s="194"/>
      <c r="T47" s="25"/>
      <c r="U47" s="1"/>
    </row>
    <row r="48" ht="16.5" customHeight="1">
      <c r="A48" s="1"/>
      <c r="B48" s="307" t="s">
        <v>871</v>
      </c>
      <c r="C48" s="245"/>
      <c r="D48" s="22"/>
      <c r="E48" s="22"/>
      <c r="F48" s="22"/>
      <c r="G48" s="22"/>
      <c r="H48" s="22"/>
      <c r="I48" s="25"/>
      <c r="J48" s="1"/>
      <c r="K48" s="62" t="s">
        <v>856</v>
      </c>
      <c r="L48" s="245"/>
      <c r="M48" s="22"/>
      <c r="N48" s="22"/>
      <c r="O48" s="25"/>
      <c r="P48" s="1"/>
      <c r="Q48" s="220"/>
      <c r="R48" s="217"/>
      <c r="S48" s="198"/>
      <c r="T48" s="199"/>
      <c r="U48" s="1"/>
    </row>
    <row r="49" ht="16.5" customHeight="1">
      <c r="A49" s="1"/>
      <c r="C49" s="85"/>
      <c r="D49" s="27"/>
      <c r="E49" s="27"/>
      <c r="F49" s="27"/>
      <c r="G49" s="27"/>
      <c r="H49" s="27"/>
      <c r="I49" s="30"/>
      <c r="J49" s="1"/>
      <c r="L49" s="220"/>
      <c r="M49" s="216"/>
      <c r="N49" s="216"/>
      <c r="O49" s="199"/>
      <c r="P49" s="1"/>
      <c r="Q49" s="220"/>
      <c r="R49" s="217"/>
      <c r="S49" s="198"/>
      <c r="T49" s="199"/>
      <c r="U49" s="1"/>
    </row>
    <row r="50" ht="16.5" customHeight="1">
      <c r="A50" s="1"/>
      <c r="B50" s="307" t="s">
        <v>872</v>
      </c>
      <c r="C50" s="245"/>
      <c r="D50" s="22"/>
      <c r="E50" s="22"/>
      <c r="F50" s="22"/>
      <c r="G50" s="22"/>
      <c r="H50" s="22"/>
      <c r="I50" s="25"/>
      <c r="J50" s="1"/>
      <c r="L50" s="389"/>
      <c r="M50" s="390"/>
      <c r="N50" s="390"/>
      <c r="O50" s="391"/>
      <c r="P50" s="1"/>
      <c r="Q50" s="220"/>
      <c r="R50" s="217"/>
      <c r="S50" s="198"/>
      <c r="T50" s="199"/>
      <c r="U50" s="1"/>
    </row>
    <row r="51" ht="16.5" customHeight="1">
      <c r="A51" s="1"/>
      <c r="C51" s="85"/>
      <c r="D51" s="27"/>
      <c r="E51" s="27"/>
      <c r="F51" s="27"/>
      <c r="G51" s="27"/>
      <c r="H51" s="27"/>
      <c r="I51" s="30"/>
      <c r="J51" s="1"/>
      <c r="K51" s="62" t="s">
        <v>866</v>
      </c>
      <c r="L51" s="392"/>
      <c r="M51" s="163"/>
      <c r="N51" s="61" t="s">
        <v>854</v>
      </c>
      <c r="O51" s="61" t="b">
        <v>1</v>
      </c>
      <c r="P51" s="1"/>
      <c r="Q51" s="220"/>
      <c r="R51" s="217"/>
      <c r="S51" s="198"/>
      <c r="T51" s="199"/>
      <c r="U51" s="1"/>
    </row>
    <row r="52" ht="16.5" customHeight="1">
      <c r="A52" s="1"/>
      <c r="B52" s="307" t="s">
        <v>873</v>
      </c>
      <c r="C52" s="245"/>
      <c r="D52" s="22"/>
      <c r="E52" s="22"/>
      <c r="F52" s="22"/>
      <c r="G52" s="22"/>
      <c r="H52" s="22"/>
      <c r="I52" s="25"/>
      <c r="J52" s="1"/>
      <c r="K52" s="62" t="s">
        <v>856</v>
      </c>
      <c r="L52" s="245"/>
      <c r="M52" s="22"/>
      <c r="N52" s="22"/>
      <c r="O52" s="25"/>
      <c r="P52" s="1"/>
      <c r="Q52" s="220"/>
      <c r="R52" s="217"/>
      <c r="S52" s="198"/>
      <c r="T52" s="199"/>
      <c r="U52" s="1"/>
    </row>
    <row r="53" ht="16.5" customHeight="1">
      <c r="A53" s="1"/>
      <c r="C53" s="85"/>
      <c r="D53" s="27"/>
      <c r="E53" s="27"/>
      <c r="F53" s="27"/>
      <c r="G53" s="27"/>
      <c r="H53" s="27"/>
      <c r="I53" s="30"/>
      <c r="J53" s="1"/>
      <c r="L53" s="220"/>
      <c r="M53" s="216"/>
      <c r="N53" s="216"/>
      <c r="O53" s="199"/>
      <c r="P53" s="1"/>
      <c r="Q53" s="220"/>
      <c r="R53" s="217"/>
      <c r="S53" s="198"/>
      <c r="T53" s="199"/>
      <c r="U53" s="1"/>
    </row>
    <row r="54" ht="16.5" customHeight="1">
      <c r="A54" s="1"/>
      <c r="B54" s="307" t="s">
        <v>874</v>
      </c>
      <c r="C54" s="245"/>
      <c r="D54" s="22"/>
      <c r="E54" s="22"/>
      <c r="F54" s="22"/>
      <c r="G54" s="22"/>
      <c r="H54" s="22"/>
      <c r="I54" s="25"/>
      <c r="J54" s="1"/>
      <c r="L54" s="85"/>
      <c r="M54" s="27"/>
      <c r="N54" s="27"/>
      <c r="O54" s="30"/>
      <c r="P54" s="1"/>
      <c r="Q54" s="220"/>
      <c r="R54" s="217"/>
      <c r="S54" s="198"/>
      <c r="T54" s="199"/>
      <c r="U54" s="1"/>
    </row>
    <row r="55" ht="16.5" customHeight="1">
      <c r="A55" s="1"/>
      <c r="C55" s="85"/>
      <c r="D55" s="27"/>
      <c r="E55" s="27"/>
      <c r="F55" s="27"/>
      <c r="G55" s="27"/>
      <c r="H55" s="27"/>
      <c r="I55" s="30"/>
      <c r="J55" s="1"/>
      <c r="K55" s="80" t="s">
        <v>875</v>
      </c>
      <c r="P55" s="1"/>
      <c r="Q55" s="220"/>
      <c r="R55" s="217"/>
      <c r="S55" s="198"/>
      <c r="T55" s="199"/>
      <c r="U55" s="1"/>
    </row>
    <row r="56" ht="16.5" customHeight="1">
      <c r="A56" s="1"/>
      <c r="B56" s="307" t="s">
        <v>876</v>
      </c>
      <c r="C56" s="245"/>
      <c r="D56" s="22"/>
      <c r="E56" s="22"/>
      <c r="F56" s="22"/>
      <c r="G56" s="22"/>
      <c r="H56" s="22"/>
      <c r="I56" s="25"/>
      <c r="J56" s="1"/>
      <c r="P56" s="1"/>
      <c r="Q56" s="220"/>
      <c r="R56" s="217"/>
      <c r="S56" s="198"/>
      <c r="T56" s="199"/>
      <c r="U56" s="1"/>
    </row>
    <row r="57" ht="16.5" customHeight="1">
      <c r="A57" s="1"/>
      <c r="C57" s="85"/>
      <c r="D57" s="27"/>
      <c r="E57" s="27"/>
      <c r="F57" s="27"/>
      <c r="G57" s="27"/>
      <c r="H57" s="27"/>
      <c r="I57" s="30"/>
      <c r="J57" s="1"/>
      <c r="K57" s="157" t="s">
        <v>877</v>
      </c>
      <c r="L57" s="381"/>
      <c r="M57" s="9"/>
      <c r="N57" s="393" t="s">
        <v>854</v>
      </c>
      <c r="O57" s="393" t="b">
        <v>1</v>
      </c>
      <c r="P57" s="1"/>
      <c r="Q57" s="220"/>
      <c r="R57" s="217"/>
      <c r="S57" s="198"/>
      <c r="T57" s="199"/>
      <c r="U57" s="1"/>
    </row>
    <row r="58" ht="16.5" customHeight="1">
      <c r="A58" s="1"/>
      <c r="B58" s="307" t="s">
        <v>878</v>
      </c>
      <c r="C58" s="245"/>
      <c r="D58" s="22"/>
      <c r="E58" s="22"/>
      <c r="F58" s="22"/>
      <c r="G58" s="22"/>
      <c r="H58" s="22"/>
      <c r="I58" s="25"/>
      <c r="J58" s="1"/>
      <c r="K58" s="62" t="s">
        <v>856</v>
      </c>
      <c r="L58" s="245"/>
      <c r="M58" s="22"/>
      <c r="N58" s="22"/>
      <c r="O58" s="25"/>
      <c r="P58" s="1"/>
      <c r="Q58" s="220"/>
      <c r="R58" s="217"/>
      <c r="S58" s="198"/>
      <c r="T58" s="199"/>
      <c r="U58" s="1"/>
    </row>
    <row r="59" ht="16.5" customHeight="1">
      <c r="A59" s="1"/>
      <c r="C59" s="85"/>
      <c r="D59" s="27"/>
      <c r="E59" s="27"/>
      <c r="F59" s="27"/>
      <c r="G59" s="27"/>
      <c r="H59" s="27"/>
      <c r="I59" s="30"/>
      <c r="J59" s="1"/>
      <c r="L59" s="220"/>
      <c r="M59" s="216"/>
      <c r="N59" s="216"/>
      <c r="O59" s="199"/>
      <c r="P59" s="1"/>
      <c r="Q59" s="220"/>
      <c r="R59" s="217"/>
      <c r="S59" s="198"/>
      <c r="T59" s="199"/>
      <c r="U59" s="1"/>
    </row>
    <row r="60" ht="16.5" customHeight="1">
      <c r="A60" s="1"/>
      <c r="B60" s="307" t="s">
        <v>879</v>
      </c>
      <c r="C60" s="381"/>
      <c r="D60" s="15"/>
      <c r="E60" s="15"/>
      <c r="F60" s="15"/>
      <c r="G60" s="15"/>
      <c r="H60" s="15"/>
      <c r="I60" s="9"/>
      <c r="J60" s="1"/>
      <c r="L60" s="389"/>
      <c r="M60" s="390"/>
      <c r="N60" s="390"/>
      <c r="O60" s="391"/>
      <c r="P60" s="1"/>
      <c r="Q60" s="220"/>
      <c r="R60" s="217"/>
      <c r="S60" s="198"/>
      <c r="T60" s="199"/>
      <c r="U60" s="1"/>
    </row>
    <row r="61" ht="16.5" customHeight="1">
      <c r="A61" s="1"/>
      <c r="B61" s="80" t="s">
        <v>880</v>
      </c>
      <c r="J61" s="1"/>
      <c r="K61" s="62" t="s">
        <v>881</v>
      </c>
      <c r="L61" s="392"/>
      <c r="M61" s="163"/>
      <c r="N61" s="61" t="s">
        <v>854</v>
      </c>
      <c r="O61" s="61" t="b">
        <v>1</v>
      </c>
      <c r="P61" s="1"/>
      <c r="Q61" s="220"/>
      <c r="R61" s="217"/>
      <c r="S61" s="198"/>
      <c r="T61" s="199"/>
      <c r="U61" s="1"/>
    </row>
    <row r="62" ht="16.5" customHeight="1">
      <c r="A62" s="1"/>
      <c r="J62" s="1"/>
      <c r="K62" s="62" t="s">
        <v>856</v>
      </c>
      <c r="L62" s="245"/>
      <c r="M62" s="22"/>
      <c r="N62" s="22"/>
      <c r="O62" s="25"/>
      <c r="P62" s="1"/>
      <c r="Q62" s="220"/>
      <c r="R62" s="217"/>
      <c r="S62" s="198"/>
      <c r="T62" s="199"/>
      <c r="U62" s="1"/>
    </row>
    <row r="63" ht="16.5" customHeight="1">
      <c r="A63" s="1"/>
      <c r="B63" s="382" t="s">
        <v>882</v>
      </c>
      <c r="C63" s="381"/>
      <c r="D63" s="15"/>
      <c r="E63" s="15"/>
      <c r="F63" s="15"/>
      <c r="G63" s="15"/>
      <c r="H63" s="15"/>
      <c r="I63" s="9"/>
      <c r="J63" s="1"/>
      <c r="L63" s="220"/>
      <c r="M63" s="216"/>
      <c r="N63" s="216"/>
      <c r="O63" s="199"/>
      <c r="P63" s="1"/>
      <c r="Q63" s="220"/>
      <c r="R63" s="217"/>
      <c r="S63" s="198"/>
      <c r="T63" s="199"/>
      <c r="U63" s="1"/>
    </row>
    <row r="64" ht="16.5" customHeight="1">
      <c r="A64" s="1"/>
      <c r="B64" s="307" t="s">
        <v>883</v>
      </c>
      <c r="C64" s="381"/>
      <c r="D64" s="15"/>
      <c r="E64" s="15"/>
      <c r="F64" s="15"/>
      <c r="G64" s="15"/>
      <c r="H64" s="15"/>
      <c r="I64" s="9"/>
      <c r="J64" s="1"/>
      <c r="L64" s="389"/>
      <c r="M64" s="390"/>
      <c r="N64" s="390"/>
      <c r="O64" s="391"/>
      <c r="P64" s="1"/>
      <c r="Q64" s="220"/>
      <c r="R64" s="217"/>
      <c r="S64" s="198"/>
      <c r="T64" s="199"/>
      <c r="U64" s="1"/>
    </row>
    <row r="65" ht="16.5" customHeight="1">
      <c r="A65" s="1"/>
      <c r="B65" s="307" t="s">
        <v>884</v>
      </c>
      <c r="C65" s="381"/>
      <c r="D65" s="15"/>
      <c r="E65" s="15"/>
      <c r="F65" s="15"/>
      <c r="G65" s="15"/>
      <c r="H65" s="15"/>
      <c r="I65" s="9"/>
      <c r="J65" s="1"/>
      <c r="K65" s="62" t="s">
        <v>885</v>
      </c>
      <c r="L65" s="392"/>
      <c r="M65" s="163"/>
      <c r="N65" s="61" t="s">
        <v>854</v>
      </c>
      <c r="O65" s="61" t="b">
        <v>1</v>
      </c>
      <c r="P65" s="1"/>
      <c r="Q65" s="220"/>
      <c r="R65" s="217"/>
      <c r="S65" s="198"/>
      <c r="T65" s="199"/>
      <c r="U65" s="1"/>
    </row>
    <row r="66" ht="16.5" customHeight="1">
      <c r="A66" s="1"/>
      <c r="B66" s="307" t="s">
        <v>886</v>
      </c>
      <c r="C66" s="381"/>
      <c r="D66" s="15"/>
      <c r="E66" s="15"/>
      <c r="F66" s="15"/>
      <c r="G66" s="15"/>
      <c r="H66" s="15"/>
      <c r="I66" s="9"/>
      <c r="J66" s="1"/>
      <c r="K66" s="62" t="s">
        <v>856</v>
      </c>
      <c r="L66" s="245"/>
      <c r="M66" s="22"/>
      <c r="N66" s="22"/>
      <c r="O66" s="25"/>
      <c r="P66" s="1"/>
      <c r="Q66" s="220"/>
      <c r="R66" s="217"/>
      <c r="S66" s="198"/>
      <c r="T66" s="199"/>
      <c r="U66" s="1"/>
    </row>
    <row r="67" ht="16.5" customHeight="1">
      <c r="A67" s="1"/>
      <c r="B67" s="307" t="s">
        <v>887</v>
      </c>
      <c r="C67" s="381"/>
      <c r="D67" s="15"/>
      <c r="E67" s="15"/>
      <c r="F67" s="15"/>
      <c r="G67" s="15"/>
      <c r="H67" s="15"/>
      <c r="I67" s="9"/>
      <c r="J67" s="1"/>
      <c r="L67" s="220"/>
      <c r="M67" s="216"/>
      <c r="N67" s="216"/>
      <c r="O67" s="199"/>
      <c r="P67" s="1"/>
      <c r="Q67" s="220"/>
      <c r="R67" s="217"/>
      <c r="S67" s="198"/>
      <c r="T67" s="199"/>
      <c r="U67" s="1"/>
    </row>
    <row r="68" ht="16.5" customHeight="1">
      <c r="A68" s="1"/>
      <c r="B68" s="307" t="s">
        <v>888</v>
      </c>
      <c r="C68" s="245"/>
      <c r="D68" s="22"/>
      <c r="E68" s="22"/>
      <c r="F68" s="22"/>
      <c r="G68" s="22"/>
      <c r="H68" s="22"/>
      <c r="I68" s="25"/>
      <c r="J68" s="1"/>
      <c r="L68" s="389"/>
      <c r="M68" s="390"/>
      <c r="N68" s="390"/>
      <c r="O68" s="391"/>
      <c r="P68" s="1"/>
      <c r="Q68" s="220"/>
      <c r="R68" s="217"/>
      <c r="S68" s="198"/>
      <c r="T68" s="199"/>
      <c r="U68" s="1"/>
    </row>
    <row r="69" ht="16.5" customHeight="1">
      <c r="A69" s="1"/>
      <c r="C69" s="85"/>
      <c r="D69" s="27"/>
      <c r="E69" s="27"/>
      <c r="F69" s="27"/>
      <c r="G69" s="27"/>
      <c r="H69" s="27"/>
      <c r="I69" s="30"/>
      <c r="J69" s="1"/>
      <c r="K69" s="62" t="s">
        <v>889</v>
      </c>
      <c r="L69" s="392"/>
      <c r="M69" s="163"/>
      <c r="N69" s="61" t="s">
        <v>854</v>
      </c>
      <c r="O69" s="61" t="b">
        <v>1</v>
      </c>
      <c r="P69" s="1"/>
      <c r="Q69" s="220"/>
      <c r="R69" s="217"/>
      <c r="S69" s="198"/>
      <c r="T69" s="199"/>
      <c r="U69" s="1"/>
    </row>
    <row r="70" ht="16.5" customHeight="1">
      <c r="A70" s="1"/>
      <c r="B70" s="307" t="s">
        <v>890</v>
      </c>
      <c r="C70" s="245"/>
      <c r="D70" s="22"/>
      <c r="E70" s="22"/>
      <c r="F70" s="22"/>
      <c r="G70" s="22"/>
      <c r="H70" s="22"/>
      <c r="I70" s="25"/>
      <c r="J70" s="1"/>
      <c r="K70" s="62" t="s">
        <v>856</v>
      </c>
      <c r="L70" s="245"/>
      <c r="M70" s="22"/>
      <c r="N70" s="22"/>
      <c r="O70" s="25"/>
      <c r="P70" s="1"/>
      <c r="Q70" s="220"/>
      <c r="R70" s="217"/>
      <c r="S70" s="198"/>
      <c r="T70" s="199"/>
      <c r="U70" s="1"/>
    </row>
    <row r="71" ht="16.5" customHeight="1">
      <c r="A71" s="1"/>
      <c r="C71" s="220"/>
      <c r="D71" s="216"/>
      <c r="E71" s="216"/>
      <c r="F71" s="216"/>
      <c r="G71" s="216"/>
      <c r="H71" s="216"/>
      <c r="I71" s="199"/>
      <c r="J71" s="1"/>
      <c r="L71" s="220"/>
      <c r="M71" s="216"/>
      <c r="N71" s="216"/>
      <c r="O71" s="199"/>
      <c r="P71" s="1"/>
      <c r="Q71" s="220"/>
      <c r="R71" s="217"/>
      <c r="S71" s="198"/>
      <c r="T71" s="199"/>
      <c r="U71" s="1"/>
    </row>
    <row r="72" ht="16.5" customHeight="1">
      <c r="A72" s="1"/>
      <c r="C72" s="85"/>
      <c r="D72" s="27"/>
      <c r="E72" s="27"/>
      <c r="F72" s="27"/>
      <c r="G72" s="27"/>
      <c r="H72" s="27"/>
      <c r="I72" s="30"/>
      <c r="J72" s="1"/>
      <c r="L72" s="85"/>
      <c r="M72" s="27"/>
      <c r="N72" s="27"/>
      <c r="O72" s="30"/>
      <c r="P72" s="1"/>
      <c r="Q72" s="85"/>
      <c r="R72" s="28"/>
      <c r="S72" s="214"/>
      <c r="T72" s="30"/>
      <c r="U72" s="1"/>
    </row>
    <row r="73" ht="6.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</sheetData>
  <mergeCells count="285">
    <mergeCell ref="C33:G33"/>
    <mergeCell ref="H33:I33"/>
    <mergeCell ref="C34:G34"/>
    <mergeCell ref="H34:I34"/>
    <mergeCell ref="C35:G35"/>
    <mergeCell ref="H35:I35"/>
    <mergeCell ref="K36:K38"/>
    <mergeCell ref="B36:I37"/>
    <mergeCell ref="C38:I38"/>
    <mergeCell ref="C39:I39"/>
    <mergeCell ref="C40:I40"/>
    <mergeCell ref="K40:K42"/>
    <mergeCell ref="C41:I41"/>
    <mergeCell ref="C42:I42"/>
    <mergeCell ref="B13:C13"/>
    <mergeCell ref="B14:C14"/>
    <mergeCell ref="B15:C15"/>
    <mergeCell ref="B16:I17"/>
    <mergeCell ref="C18:G18"/>
    <mergeCell ref="H18:I18"/>
    <mergeCell ref="H19:I19"/>
    <mergeCell ref="C22:G22"/>
    <mergeCell ref="H22:I22"/>
    <mergeCell ref="C23:G23"/>
    <mergeCell ref="H23:I23"/>
    <mergeCell ref="C24:G24"/>
    <mergeCell ref="H24:I24"/>
    <mergeCell ref="C19:G19"/>
    <mergeCell ref="C20:G20"/>
    <mergeCell ref="H20:I20"/>
    <mergeCell ref="K20:K22"/>
    <mergeCell ref="C21:G21"/>
    <mergeCell ref="H21:I21"/>
    <mergeCell ref="K23:K25"/>
    <mergeCell ref="C48:I48"/>
    <mergeCell ref="C49:I49"/>
    <mergeCell ref="C43:I43"/>
    <mergeCell ref="C44:I44"/>
    <mergeCell ref="K44:K46"/>
    <mergeCell ref="C45:I45"/>
    <mergeCell ref="C46:I46"/>
    <mergeCell ref="C47:I47"/>
    <mergeCell ref="K48:K50"/>
    <mergeCell ref="R2:T2"/>
    <mergeCell ref="R3:S3"/>
    <mergeCell ref="B1:I1"/>
    <mergeCell ref="K1:O1"/>
    <mergeCell ref="Q1:T1"/>
    <mergeCell ref="B2:I3"/>
    <mergeCell ref="L2:O2"/>
    <mergeCell ref="Q3:Q4"/>
    <mergeCell ref="B5:C5"/>
    <mergeCell ref="N4:O4"/>
    <mergeCell ref="R4:T4"/>
    <mergeCell ref="Q5:T6"/>
    <mergeCell ref="N6:O6"/>
    <mergeCell ref="R7:T7"/>
    <mergeCell ref="R8:T8"/>
    <mergeCell ref="R9:T9"/>
    <mergeCell ref="N3:O3"/>
    <mergeCell ref="N5:O5"/>
    <mergeCell ref="K7:K9"/>
    <mergeCell ref="L7:O7"/>
    <mergeCell ref="L8:O8"/>
    <mergeCell ref="Q8:Q10"/>
    <mergeCell ref="L9:O9"/>
    <mergeCell ref="B6:C6"/>
    <mergeCell ref="B7:C7"/>
    <mergeCell ref="B8:C8"/>
    <mergeCell ref="B9:C9"/>
    <mergeCell ref="B10:C10"/>
    <mergeCell ref="B11:C11"/>
    <mergeCell ref="B12:C12"/>
    <mergeCell ref="B18:B20"/>
    <mergeCell ref="L18:O18"/>
    <mergeCell ref="Q18:Q19"/>
    <mergeCell ref="R18:T18"/>
    <mergeCell ref="L19:O19"/>
    <mergeCell ref="R19:T19"/>
    <mergeCell ref="Q26:Q27"/>
    <mergeCell ref="R26:S26"/>
    <mergeCell ref="R27:S27"/>
    <mergeCell ref="C25:G25"/>
    <mergeCell ref="H25:I25"/>
    <mergeCell ref="C26:G26"/>
    <mergeCell ref="H26:I26"/>
    <mergeCell ref="C27:G27"/>
    <mergeCell ref="H27:I27"/>
    <mergeCell ref="H28:I28"/>
    <mergeCell ref="C28:G28"/>
    <mergeCell ref="C29:G29"/>
    <mergeCell ref="H29:I29"/>
    <mergeCell ref="C30:I30"/>
    <mergeCell ref="C31:I31"/>
    <mergeCell ref="C32:G32"/>
    <mergeCell ref="H32:I32"/>
    <mergeCell ref="B48:B49"/>
    <mergeCell ref="B50:B51"/>
    <mergeCell ref="B52:B53"/>
    <mergeCell ref="B54:B55"/>
    <mergeCell ref="B56:B57"/>
    <mergeCell ref="B58:B59"/>
    <mergeCell ref="B68:B69"/>
    <mergeCell ref="B70:B72"/>
    <mergeCell ref="B21:B23"/>
    <mergeCell ref="B24:B26"/>
    <mergeCell ref="B27:B29"/>
    <mergeCell ref="B32:B33"/>
    <mergeCell ref="B34:B35"/>
    <mergeCell ref="B40:B42"/>
    <mergeCell ref="B43:B45"/>
    <mergeCell ref="Q45:T46"/>
    <mergeCell ref="Q47:R47"/>
    <mergeCell ref="S47:T47"/>
    <mergeCell ref="Q48:R48"/>
    <mergeCell ref="S48:T48"/>
    <mergeCell ref="Q49:R49"/>
    <mergeCell ref="S49:T49"/>
    <mergeCell ref="Q50:R50"/>
    <mergeCell ref="S50:T50"/>
    <mergeCell ref="Q51:R51"/>
    <mergeCell ref="S51:T51"/>
    <mergeCell ref="Q52:R52"/>
    <mergeCell ref="S52:T52"/>
    <mergeCell ref="S53:T53"/>
    <mergeCell ref="Q53:R53"/>
    <mergeCell ref="Q54:R54"/>
    <mergeCell ref="Q55:R55"/>
    <mergeCell ref="Q56:R56"/>
    <mergeCell ref="Q57:R57"/>
    <mergeCell ref="Q58:R58"/>
    <mergeCell ref="Q59:R59"/>
    <mergeCell ref="S54:T54"/>
    <mergeCell ref="S55:T55"/>
    <mergeCell ref="S56:T56"/>
    <mergeCell ref="S57:T57"/>
    <mergeCell ref="S58:T58"/>
    <mergeCell ref="S59:T59"/>
    <mergeCell ref="S60:T60"/>
    <mergeCell ref="Q67:R67"/>
    <mergeCell ref="Q68:R68"/>
    <mergeCell ref="Q69:R69"/>
    <mergeCell ref="Q70:R70"/>
    <mergeCell ref="Q71:R71"/>
    <mergeCell ref="Q72:R72"/>
    <mergeCell ref="Q60:R60"/>
    <mergeCell ref="Q61:R61"/>
    <mergeCell ref="Q62:R62"/>
    <mergeCell ref="Q63:R63"/>
    <mergeCell ref="Q64:R64"/>
    <mergeCell ref="Q65:R65"/>
    <mergeCell ref="Q66:R66"/>
    <mergeCell ref="S68:T68"/>
    <mergeCell ref="S69:T69"/>
    <mergeCell ref="S70:T70"/>
    <mergeCell ref="S71:T71"/>
    <mergeCell ref="S72:T72"/>
    <mergeCell ref="S61:T61"/>
    <mergeCell ref="S62:T62"/>
    <mergeCell ref="S63:T63"/>
    <mergeCell ref="S64:T64"/>
    <mergeCell ref="S65:T65"/>
    <mergeCell ref="S66:T66"/>
    <mergeCell ref="S67:T67"/>
    <mergeCell ref="R15:T15"/>
    <mergeCell ref="R16:T16"/>
    <mergeCell ref="R10:T10"/>
    <mergeCell ref="R11:T11"/>
    <mergeCell ref="Q12:Q13"/>
    <mergeCell ref="R12:T12"/>
    <mergeCell ref="R13:T13"/>
    <mergeCell ref="R14:T14"/>
    <mergeCell ref="R17:T17"/>
    <mergeCell ref="R20:T20"/>
    <mergeCell ref="R21:T21"/>
    <mergeCell ref="R22:T22"/>
    <mergeCell ref="R23:T23"/>
    <mergeCell ref="Q24:T25"/>
    <mergeCell ref="R28:S28"/>
    <mergeCell ref="R29:S29"/>
    <mergeCell ref="R30:S30"/>
    <mergeCell ref="R31:S31"/>
    <mergeCell ref="R32:T32"/>
    <mergeCell ref="R33:T33"/>
    <mergeCell ref="R34:T34"/>
    <mergeCell ref="R35:T35"/>
    <mergeCell ref="R36:T36"/>
    <mergeCell ref="Q36:Q37"/>
    <mergeCell ref="Q40:Q41"/>
    <mergeCell ref="Q42:Q43"/>
    <mergeCell ref="Q14:Q17"/>
    <mergeCell ref="Q20:Q21"/>
    <mergeCell ref="Q22:Q23"/>
    <mergeCell ref="Q28:Q29"/>
    <mergeCell ref="Q30:Q31"/>
    <mergeCell ref="Q32:Q33"/>
    <mergeCell ref="Q34:Q35"/>
    <mergeCell ref="R37:T37"/>
    <mergeCell ref="Q38:T39"/>
    <mergeCell ref="R40:T40"/>
    <mergeCell ref="R41:T41"/>
    <mergeCell ref="R42:T42"/>
    <mergeCell ref="R43:T43"/>
    <mergeCell ref="R44:T44"/>
    <mergeCell ref="C50:I50"/>
    <mergeCell ref="C51:I51"/>
    <mergeCell ref="C52:I52"/>
    <mergeCell ref="C53:I53"/>
    <mergeCell ref="C54:I54"/>
    <mergeCell ref="C55:I55"/>
    <mergeCell ref="C56:I56"/>
    <mergeCell ref="C65:I65"/>
    <mergeCell ref="C66:I66"/>
    <mergeCell ref="C67:I67"/>
    <mergeCell ref="C68:I68"/>
    <mergeCell ref="C69:I69"/>
    <mergeCell ref="C70:I70"/>
    <mergeCell ref="C71:I71"/>
    <mergeCell ref="C72:I72"/>
    <mergeCell ref="C57:I57"/>
    <mergeCell ref="C58:I58"/>
    <mergeCell ref="C59:I59"/>
    <mergeCell ref="C60:I60"/>
    <mergeCell ref="B61:I62"/>
    <mergeCell ref="C63:I63"/>
    <mergeCell ref="C64:I64"/>
    <mergeCell ref="L46:O46"/>
    <mergeCell ref="L47:M47"/>
    <mergeCell ref="L48:O48"/>
    <mergeCell ref="L49:O49"/>
    <mergeCell ref="L50:O50"/>
    <mergeCell ref="L51:M51"/>
    <mergeCell ref="K52:K54"/>
    <mergeCell ref="L54:O54"/>
    <mergeCell ref="K55:O56"/>
    <mergeCell ref="L57:M57"/>
    <mergeCell ref="L58:O58"/>
    <mergeCell ref="L59:O59"/>
    <mergeCell ref="L60:O60"/>
    <mergeCell ref="L61:M61"/>
    <mergeCell ref="K10:O11"/>
    <mergeCell ref="N12:O12"/>
    <mergeCell ref="N13:O13"/>
    <mergeCell ref="N14:O14"/>
    <mergeCell ref="K15:O16"/>
    <mergeCell ref="K17:K19"/>
    <mergeCell ref="L17:O17"/>
    <mergeCell ref="L20:O20"/>
    <mergeCell ref="L21:O21"/>
    <mergeCell ref="L22:O22"/>
    <mergeCell ref="L23:O23"/>
    <mergeCell ref="L24:O24"/>
    <mergeCell ref="L25:O25"/>
    <mergeCell ref="K26:O27"/>
    <mergeCell ref="K28:O30"/>
    <mergeCell ref="K31:O33"/>
    <mergeCell ref="K34:O34"/>
    <mergeCell ref="L35:M35"/>
    <mergeCell ref="L36:O36"/>
    <mergeCell ref="L37:O37"/>
    <mergeCell ref="L38:O38"/>
    <mergeCell ref="L39:M39"/>
    <mergeCell ref="L40:O40"/>
    <mergeCell ref="L41:O41"/>
    <mergeCell ref="L42:O42"/>
    <mergeCell ref="L43:M43"/>
    <mergeCell ref="L44:O44"/>
    <mergeCell ref="L45:O45"/>
    <mergeCell ref="L52:O52"/>
    <mergeCell ref="L53:O53"/>
    <mergeCell ref="K58:K60"/>
    <mergeCell ref="K62:K64"/>
    <mergeCell ref="K66:K68"/>
    <mergeCell ref="K70:K72"/>
    <mergeCell ref="L69:M69"/>
    <mergeCell ref="L70:O70"/>
    <mergeCell ref="L71:O71"/>
    <mergeCell ref="L72:O72"/>
    <mergeCell ref="L62:O62"/>
    <mergeCell ref="L63:O63"/>
    <mergeCell ref="L64:O64"/>
    <mergeCell ref="L65:M65"/>
    <mergeCell ref="L66:O66"/>
    <mergeCell ref="L67:O67"/>
    <mergeCell ref="L68:O68"/>
  </mergeCells>
  <conditionalFormatting sqref="D5:H15">
    <cfRule type="cellIs" dxfId="9" priority="1" operator="equal">
      <formula>"TRUE"</formula>
    </cfRule>
  </conditionalFormatting>
  <conditionalFormatting sqref="D5:H15">
    <cfRule type="cellIs" dxfId="0" priority="2" operator="equal">
      <formula>"FALSE"</formula>
    </cfRule>
  </conditionalFormatting>
  <conditionalFormatting sqref="O35 O39 O43 O47 O51 O57 O61 O65 O69">
    <cfRule type="cellIs" dxfId="10" priority="3" operator="equal">
      <formula>"TRUE"</formula>
    </cfRule>
  </conditionalFormatting>
  <conditionalFormatting sqref="O35 O39 O43 O47 O51 O57 O61 O65 O69">
    <cfRule type="cellIs" dxfId="18" priority="4" operator="equal">
      <formula>"FALSE"</formula>
    </cfRule>
  </conditionalFormatting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F9000"/>
    <outlinePr summaryBelow="0" summaryRight="0"/>
  </sheetPr>
  <sheetViews>
    <sheetView showGridLines="0" workbookViewId="0"/>
  </sheetViews>
  <sheetFormatPr customHeight="1" defaultColWidth="14.43" defaultRowHeight="15.75" outlineLevelCol="1" outlineLevelRow="1"/>
  <cols>
    <col customWidth="1" min="1" max="1" width="1.29"/>
    <col customWidth="1" min="2" max="2" width="15.0"/>
    <col customWidth="1" min="3" max="3" width="12.71"/>
    <col customWidth="1" min="4" max="4" width="13.86"/>
    <col customWidth="1" min="5" max="5" width="13.86" outlineLevel="1"/>
    <col customWidth="1" min="6" max="6" width="31.0" outlineLevel="1"/>
    <col customWidth="1" min="7" max="8" width="3.57" outlineLevel="1"/>
    <col customWidth="1" min="9" max="9" width="4.71"/>
    <col customWidth="1" min="10" max="10" width="18.43"/>
    <col customWidth="1" min="11" max="11" width="9.29"/>
    <col customWidth="1" min="12" max="12" width="23.0"/>
    <col customWidth="1" min="13" max="13" width="10.43" outlineLevel="1"/>
    <col customWidth="1" min="14" max="14" width="18.43" outlineLevel="1"/>
    <col customWidth="1" min="15" max="15" width="3.57" outlineLevel="1"/>
    <col customWidth="1" min="16" max="16" width="4.71"/>
    <col customWidth="1" min="17" max="22" width="11.57"/>
    <col customWidth="1" min="23" max="23" width="1.29"/>
  </cols>
  <sheetData>
    <row r="1" ht="36.0" customHeight="1">
      <c r="A1" s="1"/>
      <c r="B1" s="3" t="str">
        <f>"PARTY" &amp; IF(C1&lt;&gt;"",":",)</f>
        <v>PARTY</v>
      </c>
      <c r="C1" s="394"/>
      <c r="D1" s="4"/>
      <c r="E1" s="4"/>
      <c r="F1" s="4"/>
      <c r="G1" s="4"/>
      <c r="H1" s="4"/>
      <c r="I1" s="1"/>
      <c r="J1" s="3" t="s">
        <v>891</v>
      </c>
      <c r="K1" s="4"/>
      <c r="L1" s="4"/>
      <c r="M1" s="4"/>
      <c r="N1" s="4"/>
      <c r="O1" s="4"/>
      <c r="P1" s="1"/>
      <c r="Q1" s="3" t="s">
        <v>892</v>
      </c>
      <c r="R1" s="4"/>
      <c r="S1" s="4"/>
      <c r="T1" s="4"/>
      <c r="U1" s="4"/>
      <c r="V1" s="4"/>
      <c r="W1" s="1"/>
    </row>
    <row r="2" ht="16.5" customHeight="1" outlineLevel="1">
      <c r="A2" s="1"/>
      <c r="B2" s="6" t="s">
        <v>893</v>
      </c>
      <c r="D2" s="6" t="s">
        <v>894</v>
      </c>
      <c r="E2" s="6" t="s">
        <v>895</v>
      </c>
      <c r="F2" s="6" t="s">
        <v>896</v>
      </c>
      <c r="G2" s="6" t="s">
        <v>897</v>
      </c>
      <c r="H2" s="6" t="s">
        <v>854</v>
      </c>
      <c r="I2" s="1"/>
      <c r="J2" s="62" t="s">
        <v>898</v>
      </c>
      <c r="K2" s="381"/>
      <c r="L2" s="9"/>
      <c r="M2" s="205"/>
      <c r="N2" s="1"/>
      <c r="O2" s="1"/>
      <c r="P2" s="1"/>
      <c r="Q2" s="6" t="s">
        <v>899</v>
      </c>
      <c r="W2" s="1"/>
    </row>
    <row r="3" ht="16.5" customHeight="1" outlineLevel="1">
      <c r="A3" s="1"/>
      <c r="B3" s="180"/>
      <c r="C3" s="131"/>
      <c r="D3" s="395"/>
      <c r="E3" s="32"/>
      <c r="F3" s="395"/>
      <c r="G3" s="201"/>
      <c r="H3" s="90" t="b">
        <v>1</v>
      </c>
      <c r="I3" s="205"/>
      <c r="J3" s="62" t="s">
        <v>13</v>
      </c>
      <c r="K3" s="245"/>
      <c r="L3" s="23"/>
      <c r="M3" s="194"/>
      <c r="N3" s="22"/>
      <c r="O3" s="25"/>
      <c r="P3" s="205"/>
      <c r="Q3" s="396"/>
      <c r="R3" s="397"/>
      <c r="S3" s="397"/>
      <c r="T3" s="397"/>
      <c r="U3" s="397"/>
      <c r="V3" s="398"/>
      <c r="W3" s="1"/>
    </row>
    <row r="4" ht="16.5" customHeight="1" outlineLevel="1">
      <c r="A4" s="1"/>
      <c r="B4" s="138"/>
      <c r="C4" s="105"/>
      <c r="D4" s="399"/>
      <c r="E4" s="399"/>
      <c r="F4" s="399"/>
      <c r="G4" s="38"/>
      <c r="H4" s="93" t="b">
        <v>1</v>
      </c>
      <c r="I4" s="205"/>
      <c r="K4" s="85"/>
      <c r="L4" s="28"/>
      <c r="M4" s="214"/>
      <c r="N4" s="27"/>
      <c r="O4" s="30"/>
      <c r="P4" s="205"/>
      <c r="Q4" s="400"/>
      <c r="R4" s="401"/>
      <c r="S4" s="401"/>
      <c r="T4" s="401"/>
      <c r="U4" s="401"/>
      <c r="V4" s="402"/>
      <c r="W4" s="1"/>
    </row>
    <row r="5" ht="16.5" customHeight="1" outlineLevel="1">
      <c r="A5" s="1"/>
      <c r="B5" s="138"/>
      <c r="C5" s="105"/>
      <c r="D5" s="38"/>
      <c r="E5" s="38"/>
      <c r="F5" s="38"/>
      <c r="G5" s="38"/>
      <c r="H5" s="93" t="b">
        <v>1</v>
      </c>
      <c r="I5" s="205"/>
      <c r="J5" s="1"/>
      <c r="K5" s="1"/>
      <c r="L5" s="1"/>
      <c r="M5" s="1"/>
      <c r="N5" s="1"/>
      <c r="O5" s="1"/>
      <c r="P5" s="1"/>
      <c r="Q5" s="400"/>
      <c r="R5" s="401"/>
      <c r="S5" s="401"/>
      <c r="T5" s="401"/>
      <c r="U5" s="401"/>
      <c r="V5" s="402"/>
      <c r="W5" s="1"/>
    </row>
    <row r="6" ht="16.5" customHeight="1" outlineLevel="1">
      <c r="A6" s="1"/>
      <c r="B6" s="138"/>
      <c r="C6" s="105"/>
      <c r="D6" s="38"/>
      <c r="E6" s="38"/>
      <c r="F6" s="38"/>
      <c r="G6" s="38"/>
      <c r="H6" s="93" t="b">
        <v>1</v>
      </c>
      <c r="I6" s="205"/>
      <c r="J6" s="62" t="s">
        <v>900</v>
      </c>
      <c r="K6" s="245"/>
      <c r="L6" s="23"/>
      <c r="M6" s="194"/>
      <c r="N6" s="22"/>
      <c r="O6" s="25"/>
      <c r="P6" s="205"/>
      <c r="Q6" s="400"/>
      <c r="R6" s="401"/>
      <c r="S6" s="401"/>
      <c r="T6" s="401"/>
      <c r="U6" s="401"/>
      <c r="V6" s="402"/>
      <c r="W6" s="1"/>
    </row>
    <row r="7" ht="16.5" customHeight="1" outlineLevel="1">
      <c r="A7" s="1"/>
      <c r="B7" s="138"/>
      <c r="C7" s="105"/>
      <c r="D7" s="38"/>
      <c r="E7" s="38"/>
      <c r="F7" s="38"/>
      <c r="G7" s="38"/>
      <c r="H7" s="93" t="b">
        <v>1</v>
      </c>
      <c r="I7" s="205"/>
      <c r="K7" s="85"/>
      <c r="L7" s="28"/>
      <c r="M7" s="214"/>
      <c r="N7" s="27"/>
      <c r="O7" s="30"/>
      <c r="P7" s="205"/>
      <c r="Q7" s="400"/>
      <c r="R7" s="401"/>
      <c r="S7" s="401"/>
      <c r="T7" s="401"/>
      <c r="U7" s="401"/>
      <c r="V7" s="402"/>
      <c r="W7" s="1"/>
    </row>
    <row r="8" ht="16.5" customHeight="1" outlineLevel="1">
      <c r="A8" s="1"/>
      <c r="B8" s="140"/>
      <c r="C8" s="141"/>
      <c r="D8" s="46"/>
      <c r="E8" s="46"/>
      <c r="F8" s="46"/>
      <c r="G8" s="46"/>
      <c r="H8" s="97" t="b">
        <v>1</v>
      </c>
      <c r="I8" s="205"/>
      <c r="J8" s="62" t="s">
        <v>901</v>
      </c>
      <c r="K8" s="381"/>
      <c r="L8" s="9"/>
      <c r="M8" s="62" t="s">
        <v>902</v>
      </c>
      <c r="N8" s="8"/>
      <c r="O8" s="9"/>
      <c r="P8" s="205"/>
      <c r="Q8" s="400"/>
      <c r="R8" s="401"/>
      <c r="S8" s="401"/>
      <c r="T8" s="401"/>
      <c r="U8" s="401"/>
      <c r="V8" s="402"/>
      <c r="W8" s="1"/>
    </row>
    <row r="9" ht="16.5" customHeight="1">
      <c r="A9" s="1"/>
      <c r="B9" s="2" t="s">
        <v>903</v>
      </c>
      <c r="I9" s="1"/>
      <c r="J9" s="2" t="s">
        <v>904</v>
      </c>
      <c r="P9" s="1"/>
      <c r="Q9" s="400"/>
      <c r="R9" s="401"/>
      <c r="S9" s="401"/>
      <c r="T9" s="401"/>
      <c r="U9" s="401"/>
      <c r="V9" s="402"/>
      <c r="W9" s="1"/>
    </row>
    <row r="10" ht="16.5" customHeight="1">
      <c r="A10" s="1"/>
      <c r="I10" s="1"/>
      <c r="P10" s="1"/>
      <c r="Q10" s="400"/>
      <c r="R10" s="401"/>
      <c r="S10" s="401"/>
      <c r="T10" s="401"/>
      <c r="U10" s="401"/>
      <c r="V10" s="402"/>
      <c r="W10" s="1"/>
    </row>
    <row r="11" ht="16.5" customHeight="1">
      <c r="A11" s="1"/>
      <c r="B11" s="4"/>
      <c r="C11" s="4"/>
      <c r="D11" s="4"/>
      <c r="E11" s="4"/>
      <c r="F11" s="4"/>
      <c r="G11" s="4"/>
      <c r="H11" s="4"/>
      <c r="I11" s="1"/>
      <c r="J11" s="4"/>
      <c r="K11" s="4"/>
      <c r="L11" s="4"/>
      <c r="M11" s="4"/>
      <c r="N11" s="4"/>
      <c r="O11" s="4"/>
      <c r="P11" s="1"/>
      <c r="Q11" s="400"/>
      <c r="R11" s="401"/>
      <c r="S11" s="401"/>
      <c r="T11" s="401"/>
      <c r="U11" s="401"/>
      <c r="V11" s="402"/>
      <c r="W11" s="1"/>
    </row>
    <row r="12" ht="16.5" customHeight="1" outlineLevel="1">
      <c r="A12" s="1"/>
      <c r="B12" s="6" t="s">
        <v>3</v>
      </c>
      <c r="D12" s="6" t="s">
        <v>895</v>
      </c>
      <c r="E12" s="6" t="s">
        <v>375</v>
      </c>
      <c r="F12" s="6" t="s">
        <v>896</v>
      </c>
      <c r="G12" s="6" t="s">
        <v>897</v>
      </c>
      <c r="H12" s="6" t="s">
        <v>854</v>
      </c>
      <c r="I12" s="1"/>
      <c r="J12" s="6" t="s">
        <v>3</v>
      </c>
      <c r="L12" s="6" t="s">
        <v>13</v>
      </c>
      <c r="M12" s="6" t="s">
        <v>896</v>
      </c>
      <c r="O12" s="6" t="s">
        <v>897</v>
      </c>
      <c r="P12" s="1"/>
      <c r="Q12" s="400"/>
      <c r="R12" s="403"/>
      <c r="S12" s="401"/>
      <c r="T12" s="401"/>
      <c r="U12" s="401"/>
      <c r="V12" s="402"/>
      <c r="W12" s="1"/>
    </row>
    <row r="13" ht="16.5" customHeight="1" outlineLevel="1">
      <c r="A13" s="1"/>
      <c r="B13" s="130"/>
      <c r="C13" s="35"/>
      <c r="D13" s="32"/>
      <c r="E13" s="32"/>
      <c r="F13" s="201"/>
      <c r="G13" s="201"/>
      <c r="H13" s="90" t="b">
        <v>1</v>
      </c>
      <c r="I13" s="205"/>
      <c r="J13" s="130"/>
      <c r="K13" s="131"/>
      <c r="L13" s="32"/>
      <c r="M13" s="34"/>
      <c r="N13" s="131"/>
      <c r="O13" s="404"/>
      <c r="P13" s="205"/>
      <c r="Q13" s="400"/>
      <c r="R13" s="401"/>
      <c r="S13" s="401"/>
      <c r="T13" s="401"/>
      <c r="U13" s="401"/>
      <c r="V13" s="402"/>
      <c r="W13" s="1"/>
    </row>
    <row r="14" ht="16.5" customHeight="1" outlineLevel="1">
      <c r="A14" s="1"/>
      <c r="B14" s="138"/>
      <c r="C14" s="43"/>
      <c r="D14" s="39"/>
      <c r="E14" s="38"/>
      <c r="F14" s="38"/>
      <c r="G14" s="38"/>
      <c r="H14" s="93" t="b">
        <v>1</v>
      </c>
      <c r="I14" s="205"/>
      <c r="J14" s="138"/>
      <c r="K14" s="105"/>
      <c r="L14" s="38"/>
      <c r="M14" s="42"/>
      <c r="N14" s="105"/>
      <c r="O14" s="405"/>
      <c r="P14" s="205"/>
      <c r="Q14" s="400"/>
      <c r="R14" s="401"/>
      <c r="S14" s="401"/>
      <c r="T14" s="401"/>
      <c r="U14" s="401"/>
      <c r="V14" s="402"/>
      <c r="W14" s="1"/>
    </row>
    <row r="15" ht="16.5" customHeight="1" outlineLevel="1">
      <c r="A15" s="1"/>
      <c r="B15" s="138"/>
      <c r="C15" s="43"/>
      <c r="D15" s="39"/>
      <c r="E15" s="38"/>
      <c r="F15" s="38"/>
      <c r="G15" s="38"/>
      <c r="H15" s="93" t="b">
        <v>1</v>
      </c>
      <c r="I15" s="205"/>
      <c r="J15" s="138"/>
      <c r="K15" s="105"/>
      <c r="L15" s="38"/>
      <c r="M15" s="42"/>
      <c r="N15" s="105"/>
      <c r="O15" s="405"/>
      <c r="P15" s="205"/>
      <c r="Q15" s="400"/>
      <c r="R15" s="401"/>
      <c r="S15" s="401"/>
      <c r="T15" s="401"/>
      <c r="U15" s="401"/>
      <c r="V15" s="402"/>
      <c r="W15" s="1"/>
    </row>
    <row r="16" ht="16.5" customHeight="1" outlineLevel="1">
      <c r="A16" s="1"/>
      <c r="B16" s="138"/>
      <c r="C16" s="43"/>
      <c r="D16" s="38"/>
      <c r="E16" s="39"/>
      <c r="F16" s="38"/>
      <c r="G16" s="38"/>
      <c r="H16" s="93" t="b">
        <v>1</v>
      </c>
      <c r="I16" s="205"/>
      <c r="J16" s="138"/>
      <c r="K16" s="105"/>
      <c r="L16" s="38"/>
      <c r="M16" s="42"/>
      <c r="N16" s="105"/>
      <c r="O16" s="405"/>
      <c r="P16" s="205"/>
      <c r="Q16" s="400"/>
      <c r="R16" s="401"/>
      <c r="S16" s="401"/>
      <c r="T16" s="401"/>
      <c r="U16" s="401"/>
      <c r="V16" s="402"/>
      <c r="W16" s="1"/>
    </row>
    <row r="17" ht="16.5" customHeight="1" outlineLevel="1">
      <c r="A17" s="1"/>
      <c r="B17" s="138"/>
      <c r="C17" s="43"/>
      <c r="D17" s="38"/>
      <c r="E17" s="38"/>
      <c r="F17" s="38"/>
      <c r="G17" s="38"/>
      <c r="H17" s="93" t="b">
        <v>1</v>
      </c>
      <c r="I17" s="205"/>
      <c r="J17" s="138"/>
      <c r="K17" s="105"/>
      <c r="L17" s="38"/>
      <c r="M17" s="42"/>
      <c r="N17" s="105"/>
      <c r="O17" s="405"/>
      <c r="P17" s="205"/>
      <c r="Q17" s="400"/>
      <c r="R17" s="401"/>
      <c r="S17" s="401"/>
      <c r="T17" s="401"/>
      <c r="U17" s="401"/>
      <c r="V17" s="402"/>
      <c r="W17" s="1"/>
    </row>
    <row r="18" ht="16.5" customHeight="1" outlineLevel="1">
      <c r="A18" s="1"/>
      <c r="B18" s="138"/>
      <c r="C18" s="105"/>
      <c r="D18" s="38"/>
      <c r="E18" s="38"/>
      <c r="F18" s="38"/>
      <c r="G18" s="38"/>
      <c r="H18" s="93" t="b">
        <v>1</v>
      </c>
      <c r="I18" s="205"/>
      <c r="J18" s="138"/>
      <c r="K18" s="105"/>
      <c r="L18" s="38"/>
      <c r="M18" s="42"/>
      <c r="N18" s="105"/>
      <c r="O18" s="405"/>
      <c r="P18" s="205"/>
      <c r="Q18" s="400"/>
      <c r="R18" s="401"/>
      <c r="S18" s="401"/>
      <c r="T18" s="401"/>
      <c r="U18" s="401"/>
      <c r="V18" s="402"/>
      <c r="W18" s="1"/>
    </row>
    <row r="19" ht="16.5" customHeight="1" outlineLevel="1">
      <c r="A19" s="1"/>
      <c r="B19" s="138"/>
      <c r="C19" s="105"/>
      <c r="D19" s="38"/>
      <c r="E19" s="38"/>
      <c r="F19" s="38"/>
      <c r="G19" s="38"/>
      <c r="H19" s="93" t="b">
        <v>1</v>
      </c>
      <c r="I19" s="205"/>
      <c r="J19" s="138"/>
      <c r="K19" s="105"/>
      <c r="L19" s="38"/>
      <c r="M19" s="42"/>
      <c r="N19" s="105"/>
      <c r="O19" s="405"/>
      <c r="P19" s="205"/>
      <c r="Q19" s="400"/>
      <c r="R19" s="401"/>
      <c r="S19" s="401"/>
      <c r="T19" s="401"/>
      <c r="U19" s="401"/>
      <c r="V19" s="402"/>
      <c r="W19" s="1"/>
    </row>
    <row r="20" ht="16.5" customHeight="1" outlineLevel="1">
      <c r="A20" s="1"/>
      <c r="B20" s="138"/>
      <c r="C20" s="105"/>
      <c r="D20" s="38"/>
      <c r="E20" s="38"/>
      <c r="F20" s="38"/>
      <c r="G20" s="38"/>
      <c r="H20" s="93" t="b">
        <v>1</v>
      </c>
      <c r="I20" s="205"/>
      <c r="J20" s="138"/>
      <c r="K20" s="105"/>
      <c r="L20" s="38"/>
      <c r="M20" s="42"/>
      <c r="N20" s="105"/>
      <c r="O20" s="405"/>
      <c r="P20" s="205"/>
      <c r="Q20" s="400"/>
      <c r="R20" s="403"/>
      <c r="S20" s="401"/>
      <c r="T20" s="401"/>
      <c r="U20" s="401"/>
      <c r="V20" s="402"/>
      <c r="W20" s="1"/>
    </row>
    <row r="21" ht="16.5" customHeight="1" outlineLevel="1">
      <c r="A21" s="1"/>
      <c r="B21" s="138"/>
      <c r="C21" s="105"/>
      <c r="D21" s="38"/>
      <c r="E21" s="38"/>
      <c r="F21" s="38"/>
      <c r="G21" s="38"/>
      <c r="H21" s="93" t="b">
        <v>1</v>
      </c>
      <c r="I21" s="205"/>
      <c r="J21" s="138"/>
      <c r="K21" s="105"/>
      <c r="L21" s="38"/>
      <c r="M21" s="42"/>
      <c r="N21" s="105"/>
      <c r="O21" s="405"/>
      <c r="P21" s="205"/>
      <c r="Q21" s="400"/>
      <c r="R21" s="401"/>
      <c r="S21" s="401"/>
      <c r="T21" s="401"/>
      <c r="U21" s="401"/>
      <c r="V21" s="402"/>
      <c r="W21" s="1"/>
    </row>
    <row r="22" ht="16.5" customHeight="1" outlineLevel="1">
      <c r="A22" s="1"/>
      <c r="B22" s="138"/>
      <c r="C22" s="105"/>
      <c r="D22" s="38"/>
      <c r="E22" s="38"/>
      <c r="F22" s="38"/>
      <c r="G22" s="38"/>
      <c r="H22" s="93" t="b">
        <v>1</v>
      </c>
      <c r="I22" s="205"/>
      <c r="J22" s="138"/>
      <c r="K22" s="105"/>
      <c r="L22" s="38"/>
      <c r="M22" s="42"/>
      <c r="N22" s="105"/>
      <c r="O22" s="405"/>
      <c r="P22" s="205"/>
      <c r="Q22" s="400"/>
      <c r="R22" s="401"/>
      <c r="S22" s="401"/>
      <c r="T22" s="401"/>
      <c r="U22" s="401"/>
      <c r="V22" s="402"/>
      <c r="W22" s="1"/>
    </row>
    <row r="23" ht="16.5" customHeight="1" outlineLevel="1">
      <c r="A23" s="1"/>
      <c r="B23" s="138"/>
      <c r="C23" s="105"/>
      <c r="D23" s="38"/>
      <c r="E23" s="38"/>
      <c r="F23" s="38"/>
      <c r="G23" s="38"/>
      <c r="H23" s="93" t="b">
        <v>1</v>
      </c>
      <c r="I23" s="205"/>
      <c r="J23" s="138"/>
      <c r="K23" s="105"/>
      <c r="L23" s="38"/>
      <c r="M23" s="42"/>
      <c r="N23" s="105"/>
      <c r="O23" s="405"/>
      <c r="P23" s="205"/>
      <c r="Q23" s="400"/>
      <c r="R23" s="401"/>
      <c r="S23" s="401"/>
      <c r="T23" s="401"/>
      <c r="U23" s="401"/>
      <c r="V23" s="402"/>
      <c r="W23" s="1"/>
    </row>
    <row r="24" ht="16.5" customHeight="1" outlineLevel="1">
      <c r="A24" s="1"/>
      <c r="B24" s="140"/>
      <c r="C24" s="141"/>
      <c r="D24" s="46"/>
      <c r="E24" s="46"/>
      <c r="F24" s="46"/>
      <c r="G24" s="46"/>
      <c r="H24" s="97" t="b">
        <v>1</v>
      </c>
      <c r="I24" s="205"/>
      <c r="J24" s="140"/>
      <c r="K24" s="141"/>
      <c r="L24" s="46"/>
      <c r="M24" s="49"/>
      <c r="N24" s="141"/>
      <c r="O24" s="406"/>
      <c r="P24" s="205"/>
      <c r="Q24" s="400"/>
      <c r="R24" s="401"/>
      <c r="S24" s="401"/>
      <c r="T24" s="401"/>
      <c r="U24" s="401"/>
      <c r="V24" s="402"/>
      <c r="W24" s="1"/>
    </row>
    <row r="25" ht="16.5" customHeight="1">
      <c r="A25" s="1"/>
      <c r="B25" s="2" t="s">
        <v>905</v>
      </c>
      <c r="I25" s="1"/>
      <c r="J25" s="2" t="s">
        <v>906</v>
      </c>
      <c r="P25" s="1"/>
      <c r="Q25" s="400"/>
      <c r="R25" s="401"/>
      <c r="S25" s="401"/>
      <c r="T25" s="401"/>
      <c r="U25" s="401"/>
      <c r="V25" s="402"/>
      <c r="W25" s="1"/>
    </row>
    <row r="26" ht="16.5" customHeight="1">
      <c r="A26" s="1"/>
      <c r="I26" s="1"/>
      <c r="P26" s="1"/>
      <c r="Q26" s="400"/>
      <c r="R26" s="401"/>
      <c r="S26" s="401"/>
      <c r="T26" s="401"/>
      <c r="U26" s="401"/>
      <c r="V26" s="402"/>
      <c r="W26" s="1"/>
    </row>
    <row r="27" ht="16.5" customHeight="1">
      <c r="A27" s="1"/>
      <c r="B27" s="4"/>
      <c r="C27" s="4"/>
      <c r="D27" s="4"/>
      <c r="E27" s="4"/>
      <c r="F27" s="4"/>
      <c r="G27" s="4"/>
      <c r="H27" s="4"/>
      <c r="I27" s="1"/>
      <c r="J27" s="4"/>
      <c r="K27" s="4"/>
      <c r="L27" s="4"/>
      <c r="M27" s="4"/>
      <c r="N27" s="4"/>
      <c r="O27" s="4"/>
      <c r="P27" s="1"/>
      <c r="Q27" s="400"/>
      <c r="R27" s="401"/>
      <c r="S27" s="401"/>
      <c r="T27" s="401"/>
      <c r="U27" s="401"/>
      <c r="V27" s="402"/>
      <c r="W27" s="1"/>
    </row>
    <row r="28" ht="16.5" customHeight="1" outlineLevel="1">
      <c r="A28" s="1"/>
      <c r="B28" s="6" t="s">
        <v>3</v>
      </c>
      <c r="D28" s="6" t="s">
        <v>895</v>
      </c>
      <c r="E28" s="6" t="s">
        <v>13</v>
      </c>
      <c r="F28" s="6" t="s">
        <v>896</v>
      </c>
      <c r="G28" s="6" t="s">
        <v>897</v>
      </c>
      <c r="H28" s="6" t="s">
        <v>854</v>
      </c>
      <c r="I28" s="1"/>
      <c r="J28" s="6" t="s">
        <v>3</v>
      </c>
      <c r="L28" s="6" t="s">
        <v>14</v>
      </c>
      <c r="M28" s="6" t="s">
        <v>896</v>
      </c>
      <c r="O28" s="6" t="s">
        <v>897</v>
      </c>
      <c r="P28" s="1"/>
      <c r="Q28" s="400"/>
      <c r="R28" s="401"/>
      <c r="S28" s="401"/>
      <c r="T28" s="401"/>
      <c r="U28" s="401"/>
      <c r="V28" s="402"/>
      <c r="W28" s="1"/>
    </row>
    <row r="29" ht="16.5" customHeight="1" outlineLevel="1">
      <c r="A29" s="1"/>
      <c r="B29" s="130"/>
      <c r="C29" s="35"/>
      <c r="D29" s="32"/>
      <c r="E29" s="32"/>
      <c r="F29" s="201"/>
      <c r="G29" s="201"/>
      <c r="H29" s="90" t="b">
        <v>1</v>
      </c>
      <c r="I29" s="205"/>
      <c r="J29" s="180"/>
      <c r="K29" s="131"/>
      <c r="L29" s="32"/>
      <c r="M29" s="200"/>
      <c r="N29" s="131"/>
      <c r="O29" s="404"/>
      <c r="P29" s="205"/>
      <c r="Q29" s="400"/>
      <c r="R29" s="401"/>
      <c r="S29" s="401"/>
      <c r="T29" s="401"/>
      <c r="U29" s="401"/>
      <c r="V29" s="402"/>
      <c r="W29" s="1"/>
    </row>
    <row r="30" ht="16.5" customHeight="1" outlineLevel="1">
      <c r="A30" s="1"/>
      <c r="B30" s="138"/>
      <c r="C30" s="43"/>
      <c r="D30" s="39"/>
      <c r="E30" s="38"/>
      <c r="F30" s="38"/>
      <c r="G30" s="38"/>
      <c r="H30" s="93" t="b">
        <v>1</v>
      </c>
      <c r="I30" s="205"/>
      <c r="J30" s="138"/>
      <c r="K30" s="105"/>
      <c r="L30" s="38"/>
      <c r="M30" s="42"/>
      <c r="N30" s="105"/>
      <c r="O30" s="405"/>
      <c r="P30" s="205"/>
      <c r="Q30" s="400"/>
      <c r="R30" s="401"/>
      <c r="S30" s="401"/>
      <c r="T30" s="401"/>
      <c r="U30" s="401"/>
      <c r="V30" s="402"/>
      <c r="W30" s="1"/>
    </row>
    <row r="31" ht="16.5" customHeight="1" outlineLevel="1">
      <c r="A31" s="1"/>
      <c r="B31" s="138"/>
      <c r="C31" s="43"/>
      <c r="D31" s="39"/>
      <c r="E31" s="38"/>
      <c r="F31" s="38"/>
      <c r="G31" s="38"/>
      <c r="H31" s="93" t="b">
        <v>1</v>
      </c>
      <c r="I31" s="205"/>
      <c r="J31" s="138"/>
      <c r="K31" s="105"/>
      <c r="L31" s="38"/>
      <c r="M31" s="42"/>
      <c r="N31" s="105"/>
      <c r="O31" s="405"/>
      <c r="P31" s="205"/>
      <c r="Q31" s="400"/>
      <c r="R31" s="401"/>
      <c r="S31" s="401"/>
      <c r="T31" s="401"/>
      <c r="U31" s="401"/>
      <c r="V31" s="402"/>
      <c r="W31" s="1"/>
    </row>
    <row r="32" ht="16.5" customHeight="1" outlineLevel="1">
      <c r="A32" s="1"/>
      <c r="B32" s="138"/>
      <c r="C32" s="43"/>
      <c r="D32" s="38"/>
      <c r="E32" s="38"/>
      <c r="F32" s="38"/>
      <c r="G32" s="38"/>
      <c r="H32" s="93" t="b">
        <v>1</v>
      </c>
      <c r="I32" s="205"/>
      <c r="J32" s="138"/>
      <c r="K32" s="105"/>
      <c r="L32" s="38"/>
      <c r="M32" s="42"/>
      <c r="N32" s="105"/>
      <c r="O32" s="405"/>
      <c r="P32" s="205"/>
      <c r="Q32" s="400"/>
      <c r="R32" s="401"/>
      <c r="S32" s="401"/>
      <c r="T32" s="401"/>
      <c r="U32" s="401"/>
      <c r="V32" s="402"/>
      <c r="W32" s="1"/>
    </row>
    <row r="33" ht="16.5" customHeight="1" outlineLevel="1">
      <c r="A33" s="1"/>
      <c r="B33" s="138"/>
      <c r="C33" s="105"/>
      <c r="D33" s="38"/>
      <c r="E33" s="38"/>
      <c r="F33" s="38"/>
      <c r="G33" s="38"/>
      <c r="H33" s="93" t="b">
        <v>1</v>
      </c>
      <c r="I33" s="205"/>
      <c r="J33" s="138"/>
      <c r="K33" s="105"/>
      <c r="L33" s="38"/>
      <c r="M33" s="42"/>
      <c r="N33" s="105"/>
      <c r="O33" s="405"/>
      <c r="P33" s="205"/>
      <c r="Q33" s="400"/>
      <c r="R33" s="401"/>
      <c r="S33" s="401"/>
      <c r="T33" s="401"/>
      <c r="U33" s="401"/>
      <c r="V33" s="402"/>
      <c r="W33" s="1"/>
    </row>
    <row r="34" ht="16.5" customHeight="1" outlineLevel="1">
      <c r="A34" s="1"/>
      <c r="B34" s="138"/>
      <c r="C34" s="105"/>
      <c r="D34" s="38"/>
      <c r="E34" s="38"/>
      <c r="F34" s="38"/>
      <c r="G34" s="38"/>
      <c r="H34" s="93" t="b">
        <v>1</v>
      </c>
      <c r="I34" s="205"/>
      <c r="J34" s="138"/>
      <c r="K34" s="105"/>
      <c r="L34" s="38"/>
      <c r="M34" s="42"/>
      <c r="N34" s="105"/>
      <c r="O34" s="405"/>
      <c r="P34" s="205"/>
      <c r="Q34" s="400"/>
      <c r="R34" s="401"/>
      <c r="S34" s="401"/>
      <c r="T34" s="401"/>
      <c r="U34" s="401"/>
      <c r="V34" s="402"/>
      <c r="W34" s="1"/>
    </row>
    <row r="35" ht="16.5" customHeight="1" outlineLevel="1">
      <c r="A35" s="1"/>
      <c r="B35" s="138"/>
      <c r="C35" s="105"/>
      <c r="D35" s="38"/>
      <c r="E35" s="38"/>
      <c r="F35" s="38"/>
      <c r="G35" s="38"/>
      <c r="H35" s="93" t="b">
        <v>1</v>
      </c>
      <c r="I35" s="205"/>
      <c r="J35" s="138"/>
      <c r="K35" s="105"/>
      <c r="L35" s="38"/>
      <c r="M35" s="42"/>
      <c r="N35" s="105"/>
      <c r="O35" s="405"/>
      <c r="P35" s="205"/>
      <c r="Q35" s="400"/>
      <c r="R35" s="401"/>
      <c r="S35" s="401"/>
      <c r="T35" s="401"/>
      <c r="U35" s="401"/>
      <c r="V35" s="402"/>
      <c r="W35" s="1"/>
    </row>
    <row r="36" ht="16.5" customHeight="1" outlineLevel="1">
      <c r="A36" s="1"/>
      <c r="B36" s="138"/>
      <c r="C36" s="105"/>
      <c r="D36" s="38"/>
      <c r="E36" s="38"/>
      <c r="F36" s="38"/>
      <c r="G36" s="38"/>
      <c r="H36" s="93" t="b">
        <v>1</v>
      </c>
      <c r="I36" s="205"/>
      <c r="J36" s="138"/>
      <c r="K36" s="105"/>
      <c r="L36" s="38"/>
      <c r="M36" s="42"/>
      <c r="N36" s="105"/>
      <c r="O36" s="405"/>
      <c r="P36" s="205"/>
      <c r="Q36" s="400"/>
      <c r="R36" s="401"/>
      <c r="S36" s="401"/>
      <c r="T36" s="401"/>
      <c r="U36" s="401"/>
      <c r="V36" s="402"/>
      <c r="W36" s="1"/>
    </row>
    <row r="37" ht="16.5" customHeight="1" outlineLevel="1">
      <c r="A37" s="1"/>
      <c r="B37" s="138"/>
      <c r="C37" s="105"/>
      <c r="D37" s="38"/>
      <c r="E37" s="38"/>
      <c r="F37" s="38"/>
      <c r="G37" s="38"/>
      <c r="H37" s="93" t="b">
        <v>1</v>
      </c>
      <c r="I37" s="205"/>
      <c r="J37" s="138"/>
      <c r="K37" s="105"/>
      <c r="L37" s="38"/>
      <c r="M37" s="42"/>
      <c r="N37" s="105"/>
      <c r="O37" s="405"/>
      <c r="P37" s="205"/>
      <c r="Q37" s="400"/>
      <c r="R37" s="401"/>
      <c r="S37" s="401"/>
      <c r="T37" s="401"/>
      <c r="U37" s="401"/>
      <c r="V37" s="402"/>
      <c r="W37" s="1"/>
    </row>
    <row r="38" ht="16.5" customHeight="1" outlineLevel="1">
      <c r="A38" s="1"/>
      <c r="B38" s="138"/>
      <c r="C38" s="105"/>
      <c r="D38" s="38"/>
      <c r="E38" s="38"/>
      <c r="F38" s="38"/>
      <c r="G38" s="38"/>
      <c r="H38" s="93" t="b">
        <v>1</v>
      </c>
      <c r="I38" s="205"/>
      <c r="J38" s="138"/>
      <c r="K38" s="105"/>
      <c r="L38" s="38"/>
      <c r="M38" s="42"/>
      <c r="N38" s="105"/>
      <c r="O38" s="405"/>
      <c r="P38" s="205"/>
      <c r="Q38" s="400"/>
      <c r="R38" s="401"/>
      <c r="S38" s="401"/>
      <c r="T38" s="401"/>
      <c r="U38" s="401"/>
      <c r="V38" s="402"/>
      <c r="W38" s="1"/>
    </row>
    <row r="39" ht="16.5" customHeight="1" outlineLevel="1">
      <c r="A39" s="1"/>
      <c r="B39" s="138"/>
      <c r="C39" s="105"/>
      <c r="D39" s="38"/>
      <c r="E39" s="38"/>
      <c r="F39" s="38"/>
      <c r="G39" s="38"/>
      <c r="H39" s="93" t="b">
        <v>1</v>
      </c>
      <c r="I39" s="205"/>
      <c r="J39" s="138"/>
      <c r="K39" s="105"/>
      <c r="L39" s="38"/>
      <c r="M39" s="42"/>
      <c r="N39" s="105"/>
      <c r="O39" s="405"/>
      <c r="P39" s="205"/>
      <c r="Q39" s="400"/>
      <c r="R39" s="401"/>
      <c r="S39" s="401"/>
      <c r="T39" s="401"/>
      <c r="U39" s="401"/>
      <c r="V39" s="402"/>
      <c r="W39" s="1"/>
    </row>
    <row r="40" ht="16.5" customHeight="1" outlineLevel="1">
      <c r="A40" s="1"/>
      <c r="B40" s="138"/>
      <c r="C40" s="105"/>
      <c r="D40" s="38"/>
      <c r="E40" s="38"/>
      <c r="F40" s="38"/>
      <c r="G40" s="38"/>
      <c r="H40" s="93" t="b">
        <v>1</v>
      </c>
      <c r="I40" s="205"/>
      <c r="J40" s="138"/>
      <c r="K40" s="105"/>
      <c r="L40" s="38"/>
      <c r="M40" s="42"/>
      <c r="N40" s="105"/>
      <c r="O40" s="405"/>
      <c r="P40" s="205"/>
      <c r="Q40" s="400"/>
      <c r="R40" s="401"/>
      <c r="S40" s="401"/>
      <c r="T40" s="401"/>
      <c r="U40" s="401"/>
      <c r="V40" s="402"/>
      <c r="W40" s="1"/>
    </row>
    <row r="41" ht="16.5" customHeight="1" outlineLevel="1">
      <c r="A41" s="1"/>
      <c r="B41" s="138"/>
      <c r="C41" s="105"/>
      <c r="D41" s="38"/>
      <c r="E41" s="38"/>
      <c r="F41" s="38"/>
      <c r="G41" s="38"/>
      <c r="H41" s="93" t="b">
        <v>1</v>
      </c>
      <c r="I41" s="205"/>
      <c r="J41" s="138"/>
      <c r="K41" s="105"/>
      <c r="L41" s="38"/>
      <c r="M41" s="42"/>
      <c r="N41" s="105"/>
      <c r="O41" s="405"/>
      <c r="P41" s="205"/>
      <c r="Q41" s="400"/>
      <c r="R41" s="401"/>
      <c r="S41" s="401"/>
      <c r="T41" s="401"/>
      <c r="U41" s="401"/>
      <c r="V41" s="402"/>
      <c r="W41" s="1"/>
    </row>
    <row r="42" ht="16.5" customHeight="1" outlineLevel="1">
      <c r="A42" s="1"/>
      <c r="B42" s="138"/>
      <c r="C42" s="105"/>
      <c r="D42" s="38"/>
      <c r="E42" s="38"/>
      <c r="F42" s="38"/>
      <c r="G42" s="38"/>
      <c r="H42" s="93" t="b">
        <v>1</v>
      </c>
      <c r="I42" s="205"/>
      <c r="J42" s="138"/>
      <c r="K42" s="105"/>
      <c r="L42" s="38"/>
      <c r="M42" s="42"/>
      <c r="N42" s="105"/>
      <c r="O42" s="405"/>
      <c r="P42" s="205"/>
      <c r="Q42" s="400"/>
      <c r="R42" s="401"/>
      <c r="S42" s="401"/>
      <c r="T42" s="401"/>
      <c r="U42" s="401"/>
      <c r="V42" s="402"/>
      <c r="W42" s="1"/>
    </row>
    <row r="43" ht="16.5" customHeight="1" outlineLevel="1">
      <c r="A43" s="1"/>
      <c r="B43" s="138"/>
      <c r="C43" s="105"/>
      <c r="D43" s="38"/>
      <c r="E43" s="38"/>
      <c r="F43" s="38"/>
      <c r="G43" s="38"/>
      <c r="H43" s="93" t="b">
        <v>1</v>
      </c>
      <c r="I43" s="205"/>
      <c r="J43" s="138"/>
      <c r="K43" s="105"/>
      <c r="L43" s="38"/>
      <c r="M43" s="42"/>
      <c r="N43" s="105"/>
      <c r="O43" s="405"/>
      <c r="P43" s="205"/>
      <c r="Q43" s="400"/>
      <c r="R43" s="401"/>
      <c r="S43" s="401"/>
      <c r="T43" s="401"/>
      <c r="U43" s="401"/>
      <c r="V43" s="402"/>
      <c r="W43" s="1"/>
    </row>
    <row r="44" ht="16.5" customHeight="1" outlineLevel="1">
      <c r="A44" s="1"/>
      <c r="B44" s="138"/>
      <c r="C44" s="105"/>
      <c r="D44" s="38"/>
      <c r="E44" s="38"/>
      <c r="F44" s="38"/>
      <c r="G44" s="38"/>
      <c r="H44" s="93" t="b">
        <v>1</v>
      </c>
      <c r="I44" s="205"/>
      <c r="J44" s="138"/>
      <c r="K44" s="105"/>
      <c r="L44" s="38"/>
      <c r="M44" s="42"/>
      <c r="N44" s="105"/>
      <c r="O44" s="405"/>
      <c r="P44" s="205"/>
      <c r="Q44" s="400"/>
      <c r="R44" s="401"/>
      <c r="S44" s="401"/>
      <c r="T44" s="401"/>
      <c r="U44" s="401"/>
      <c r="V44" s="402"/>
      <c r="W44" s="1"/>
    </row>
    <row r="45" ht="16.5" customHeight="1" outlineLevel="1">
      <c r="A45" s="1"/>
      <c r="B45" s="138"/>
      <c r="C45" s="105"/>
      <c r="D45" s="38"/>
      <c r="E45" s="38"/>
      <c r="F45" s="38"/>
      <c r="G45" s="38"/>
      <c r="H45" s="93" t="b">
        <v>1</v>
      </c>
      <c r="I45" s="205"/>
      <c r="J45" s="138"/>
      <c r="K45" s="105"/>
      <c r="L45" s="38"/>
      <c r="M45" s="42"/>
      <c r="N45" s="105"/>
      <c r="O45" s="405"/>
      <c r="P45" s="205"/>
      <c r="Q45" s="400"/>
      <c r="R45" s="401"/>
      <c r="S45" s="401"/>
      <c r="T45" s="401"/>
      <c r="U45" s="401"/>
      <c r="V45" s="402"/>
      <c r="W45" s="1"/>
    </row>
    <row r="46" ht="16.5" customHeight="1" outlineLevel="1">
      <c r="A46" s="1"/>
      <c r="B46" s="138"/>
      <c r="C46" s="105"/>
      <c r="D46" s="38"/>
      <c r="E46" s="38"/>
      <c r="F46" s="38"/>
      <c r="G46" s="38"/>
      <c r="H46" s="93" t="b">
        <v>1</v>
      </c>
      <c r="I46" s="205"/>
      <c r="J46" s="138"/>
      <c r="K46" s="105"/>
      <c r="L46" s="38"/>
      <c r="M46" s="42"/>
      <c r="N46" s="105"/>
      <c r="O46" s="405"/>
      <c r="P46" s="205"/>
      <c r="Q46" s="400"/>
      <c r="R46" s="401"/>
      <c r="S46" s="401"/>
      <c r="T46" s="401"/>
      <c r="U46" s="401"/>
      <c r="V46" s="402"/>
      <c r="W46" s="1"/>
    </row>
    <row r="47" ht="16.5" customHeight="1" outlineLevel="1">
      <c r="A47" s="1"/>
      <c r="B47" s="138"/>
      <c r="C47" s="105"/>
      <c r="D47" s="38"/>
      <c r="E47" s="38"/>
      <c r="F47" s="38"/>
      <c r="G47" s="38"/>
      <c r="H47" s="93" t="b">
        <v>1</v>
      </c>
      <c r="I47" s="205"/>
      <c r="J47" s="138"/>
      <c r="K47" s="105"/>
      <c r="L47" s="38"/>
      <c r="M47" s="42"/>
      <c r="N47" s="105"/>
      <c r="O47" s="405"/>
      <c r="P47" s="205"/>
      <c r="Q47" s="400"/>
      <c r="R47" s="401"/>
      <c r="S47" s="401"/>
      <c r="T47" s="401"/>
      <c r="U47" s="401"/>
      <c r="V47" s="402"/>
      <c r="W47" s="1"/>
    </row>
    <row r="48" ht="16.5" customHeight="1" outlineLevel="1">
      <c r="A48" s="1"/>
      <c r="B48" s="138"/>
      <c r="C48" s="105"/>
      <c r="D48" s="38"/>
      <c r="E48" s="38"/>
      <c r="F48" s="38"/>
      <c r="G48" s="38"/>
      <c r="H48" s="93" t="b">
        <v>1</v>
      </c>
      <c r="I48" s="205"/>
      <c r="J48" s="138"/>
      <c r="K48" s="105"/>
      <c r="L48" s="38"/>
      <c r="M48" s="42"/>
      <c r="N48" s="105"/>
      <c r="O48" s="405"/>
      <c r="P48" s="205"/>
      <c r="Q48" s="400"/>
      <c r="R48" s="401"/>
      <c r="S48" s="401"/>
      <c r="T48" s="401"/>
      <c r="U48" s="401"/>
      <c r="V48" s="402"/>
      <c r="W48" s="1"/>
    </row>
    <row r="49" ht="16.5" customHeight="1" outlineLevel="1">
      <c r="A49" s="1"/>
      <c r="B49" s="138"/>
      <c r="C49" s="105"/>
      <c r="D49" s="38"/>
      <c r="E49" s="38"/>
      <c r="F49" s="38"/>
      <c r="G49" s="38"/>
      <c r="H49" s="93" t="b">
        <v>1</v>
      </c>
      <c r="I49" s="205"/>
      <c r="J49" s="138"/>
      <c r="K49" s="105"/>
      <c r="L49" s="38"/>
      <c r="M49" s="42"/>
      <c r="N49" s="105"/>
      <c r="O49" s="405"/>
      <c r="P49" s="205"/>
      <c r="Q49" s="400"/>
      <c r="R49" s="401"/>
      <c r="S49" s="401"/>
      <c r="T49" s="401"/>
      <c r="U49" s="401"/>
      <c r="V49" s="402"/>
      <c r="W49" s="1"/>
    </row>
    <row r="50" ht="16.5" customHeight="1" outlineLevel="1">
      <c r="A50" s="1"/>
      <c r="B50" s="138"/>
      <c r="C50" s="105"/>
      <c r="D50" s="38"/>
      <c r="E50" s="38"/>
      <c r="F50" s="38"/>
      <c r="G50" s="38"/>
      <c r="H50" s="93" t="b">
        <v>1</v>
      </c>
      <c r="I50" s="205"/>
      <c r="J50" s="138"/>
      <c r="K50" s="105"/>
      <c r="L50" s="38"/>
      <c r="M50" s="42"/>
      <c r="N50" s="105"/>
      <c r="O50" s="405"/>
      <c r="P50" s="205"/>
      <c r="Q50" s="400"/>
      <c r="R50" s="401"/>
      <c r="S50" s="401"/>
      <c r="T50" s="401"/>
      <c r="U50" s="401"/>
      <c r="V50" s="402"/>
      <c r="W50" s="1"/>
    </row>
    <row r="51" ht="16.5" customHeight="1" outlineLevel="1">
      <c r="A51" s="1"/>
      <c r="B51" s="138"/>
      <c r="C51" s="105"/>
      <c r="D51" s="38"/>
      <c r="E51" s="38"/>
      <c r="F51" s="38"/>
      <c r="G51" s="38"/>
      <c r="H51" s="93" t="b">
        <v>1</v>
      </c>
      <c r="I51" s="205"/>
      <c r="J51" s="138"/>
      <c r="K51" s="105"/>
      <c r="L51" s="38"/>
      <c r="M51" s="42"/>
      <c r="N51" s="105"/>
      <c r="O51" s="405"/>
      <c r="P51" s="205"/>
      <c r="Q51" s="400"/>
      <c r="R51" s="401"/>
      <c r="S51" s="401"/>
      <c r="T51" s="401"/>
      <c r="U51" s="401"/>
      <c r="V51" s="402"/>
      <c r="W51" s="1"/>
    </row>
    <row r="52" ht="16.5" customHeight="1" outlineLevel="1">
      <c r="A52" s="1"/>
      <c r="B52" s="138"/>
      <c r="C52" s="105"/>
      <c r="D52" s="38"/>
      <c r="E52" s="38"/>
      <c r="F52" s="38"/>
      <c r="G52" s="38"/>
      <c r="H52" s="93" t="b">
        <v>1</v>
      </c>
      <c r="I52" s="205"/>
      <c r="J52" s="138"/>
      <c r="K52" s="105"/>
      <c r="L52" s="38"/>
      <c r="M52" s="42"/>
      <c r="N52" s="105"/>
      <c r="O52" s="405"/>
      <c r="P52" s="205"/>
      <c r="Q52" s="400"/>
      <c r="R52" s="401"/>
      <c r="S52" s="401"/>
      <c r="T52" s="401"/>
      <c r="U52" s="401"/>
      <c r="V52" s="402"/>
      <c r="W52" s="1"/>
    </row>
    <row r="53" ht="16.5" customHeight="1" outlineLevel="1">
      <c r="A53" s="1"/>
      <c r="B53" s="138"/>
      <c r="C53" s="105"/>
      <c r="D53" s="38"/>
      <c r="E53" s="38"/>
      <c r="F53" s="38"/>
      <c r="G53" s="38"/>
      <c r="H53" s="93" t="b">
        <v>1</v>
      </c>
      <c r="I53" s="205"/>
      <c r="J53" s="138"/>
      <c r="K53" s="105"/>
      <c r="L53" s="38"/>
      <c r="M53" s="42"/>
      <c r="N53" s="105"/>
      <c r="O53" s="405"/>
      <c r="P53" s="205"/>
      <c r="Q53" s="400"/>
      <c r="R53" s="401"/>
      <c r="S53" s="401"/>
      <c r="T53" s="401"/>
      <c r="U53" s="401"/>
      <c r="V53" s="402"/>
      <c r="W53" s="1"/>
    </row>
    <row r="54" ht="16.5" customHeight="1" outlineLevel="1">
      <c r="A54" s="1"/>
      <c r="B54" s="138"/>
      <c r="C54" s="105"/>
      <c r="D54" s="38"/>
      <c r="E54" s="38"/>
      <c r="F54" s="38"/>
      <c r="G54" s="38"/>
      <c r="H54" s="93" t="b">
        <v>1</v>
      </c>
      <c r="I54" s="205"/>
      <c r="J54" s="138"/>
      <c r="K54" s="105"/>
      <c r="L54" s="38"/>
      <c r="M54" s="42"/>
      <c r="N54" s="105"/>
      <c r="O54" s="405"/>
      <c r="P54" s="205"/>
      <c r="Q54" s="400"/>
      <c r="R54" s="401"/>
      <c r="S54" s="401"/>
      <c r="T54" s="401"/>
      <c r="U54" s="401"/>
      <c r="V54" s="402"/>
      <c r="W54" s="1"/>
    </row>
    <row r="55" ht="16.5" customHeight="1" outlineLevel="1">
      <c r="A55" s="1"/>
      <c r="B55" s="138"/>
      <c r="C55" s="105"/>
      <c r="D55" s="38"/>
      <c r="E55" s="38"/>
      <c r="F55" s="38"/>
      <c r="G55" s="38"/>
      <c r="H55" s="93" t="b">
        <v>1</v>
      </c>
      <c r="I55" s="205"/>
      <c r="J55" s="138"/>
      <c r="K55" s="105"/>
      <c r="L55" s="38"/>
      <c r="M55" s="42"/>
      <c r="N55" s="105"/>
      <c r="O55" s="405"/>
      <c r="P55" s="205"/>
      <c r="Q55" s="400"/>
      <c r="R55" s="401"/>
      <c r="S55" s="401"/>
      <c r="T55" s="401"/>
      <c r="U55" s="401"/>
      <c r="V55" s="402"/>
      <c r="W55" s="1"/>
    </row>
    <row r="56" ht="16.5" customHeight="1" outlineLevel="1">
      <c r="A56" s="1"/>
      <c r="B56" s="138"/>
      <c r="C56" s="105"/>
      <c r="D56" s="38"/>
      <c r="E56" s="38"/>
      <c r="F56" s="38"/>
      <c r="G56" s="38"/>
      <c r="H56" s="93" t="b">
        <v>1</v>
      </c>
      <c r="I56" s="205"/>
      <c r="J56" s="138"/>
      <c r="K56" s="105"/>
      <c r="L56" s="38"/>
      <c r="M56" s="42"/>
      <c r="N56" s="105"/>
      <c r="O56" s="405"/>
      <c r="P56" s="205"/>
      <c r="Q56" s="400"/>
      <c r="R56" s="401"/>
      <c r="S56" s="401"/>
      <c r="T56" s="401"/>
      <c r="U56" s="401"/>
      <c r="V56" s="402"/>
      <c r="W56" s="1"/>
    </row>
    <row r="57" ht="16.5" customHeight="1" outlineLevel="1">
      <c r="A57" s="1"/>
      <c r="B57" s="138"/>
      <c r="C57" s="105"/>
      <c r="D57" s="38"/>
      <c r="E57" s="38"/>
      <c r="F57" s="38"/>
      <c r="G57" s="38"/>
      <c r="H57" s="93" t="b">
        <v>1</v>
      </c>
      <c r="I57" s="205"/>
      <c r="J57" s="138"/>
      <c r="K57" s="105"/>
      <c r="L57" s="38"/>
      <c r="M57" s="42"/>
      <c r="N57" s="105"/>
      <c r="O57" s="405"/>
      <c r="P57" s="205"/>
      <c r="Q57" s="400"/>
      <c r="R57" s="401"/>
      <c r="S57" s="401"/>
      <c r="T57" s="401"/>
      <c r="U57" s="401"/>
      <c r="V57" s="402"/>
      <c r="W57" s="1"/>
    </row>
    <row r="58" ht="16.5" customHeight="1" outlineLevel="1">
      <c r="A58" s="1"/>
      <c r="B58" s="138"/>
      <c r="C58" s="105"/>
      <c r="D58" s="38"/>
      <c r="E58" s="38"/>
      <c r="F58" s="38"/>
      <c r="G58" s="38"/>
      <c r="H58" s="93" t="b">
        <v>1</v>
      </c>
      <c r="I58" s="205"/>
      <c r="J58" s="138"/>
      <c r="K58" s="105"/>
      <c r="L58" s="38"/>
      <c r="M58" s="42"/>
      <c r="N58" s="105"/>
      <c r="O58" s="405"/>
      <c r="P58" s="205"/>
      <c r="Q58" s="400"/>
      <c r="R58" s="401"/>
      <c r="S58" s="401"/>
      <c r="T58" s="401"/>
      <c r="U58" s="401"/>
      <c r="V58" s="402"/>
      <c r="W58" s="1"/>
    </row>
    <row r="59" ht="16.5" customHeight="1" outlineLevel="1">
      <c r="A59" s="1"/>
      <c r="B59" s="138"/>
      <c r="C59" s="105"/>
      <c r="D59" s="38"/>
      <c r="E59" s="38"/>
      <c r="F59" s="38"/>
      <c r="G59" s="38"/>
      <c r="H59" s="93" t="b">
        <v>1</v>
      </c>
      <c r="I59" s="205"/>
      <c r="J59" s="138"/>
      <c r="K59" s="105"/>
      <c r="L59" s="38"/>
      <c r="M59" s="42"/>
      <c r="N59" s="105"/>
      <c r="O59" s="405"/>
      <c r="P59" s="205"/>
      <c r="Q59" s="400"/>
      <c r="R59" s="401"/>
      <c r="S59" s="401"/>
      <c r="T59" s="401"/>
      <c r="U59" s="401"/>
      <c r="V59" s="402"/>
      <c r="W59" s="1"/>
    </row>
    <row r="60" ht="16.5" customHeight="1" outlineLevel="1">
      <c r="A60" s="1"/>
      <c r="B60" s="138"/>
      <c r="C60" s="105"/>
      <c r="D60" s="38"/>
      <c r="E60" s="38"/>
      <c r="F60" s="38"/>
      <c r="G60" s="38"/>
      <c r="H60" s="93" t="b">
        <v>1</v>
      </c>
      <c r="I60" s="205"/>
      <c r="J60" s="138"/>
      <c r="K60" s="105"/>
      <c r="L60" s="38"/>
      <c r="M60" s="42"/>
      <c r="N60" s="105"/>
      <c r="O60" s="405"/>
      <c r="P60" s="205"/>
      <c r="Q60" s="400"/>
      <c r="R60" s="401"/>
      <c r="S60" s="401"/>
      <c r="T60" s="401"/>
      <c r="U60" s="401"/>
      <c r="V60" s="402"/>
      <c r="W60" s="1"/>
    </row>
    <row r="61" ht="16.5" customHeight="1" outlineLevel="1">
      <c r="A61" s="1"/>
      <c r="B61" s="138"/>
      <c r="C61" s="105"/>
      <c r="D61" s="38"/>
      <c r="E61" s="38"/>
      <c r="F61" s="38"/>
      <c r="G61" s="38"/>
      <c r="H61" s="93" t="b">
        <v>1</v>
      </c>
      <c r="I61" s="205"/>
      <c r="J61" s="138"/>
      <c r="K61" s="105"/>
      <c r="L61" s="38"/>
      <c r="M61" s="42"/>
      <c r="N61" s="105"/>
      <c r="O61" s="405"/>
      <c r="P61" s="205"/>
      <c r="Q61" s="400"/>
      <c r="R61" s="401"/>
      <c r="S61" s="401"/>
      <c r="T61" s="401"/>
      <c r="U61" s="401"/>
      <c r="V61" s="402"/>
      <c r="W61" s="1"/>
    </row>
    <row r="62" ht="16.5" customHeight="1" outlineLevel="1">
      <c r="A62" s="1"/>
      <c r="B62" s="138"/>
      <c r="C62" s="105"/>
      <c r="D62" s="38"/>
      <c r="E62" s="38"/>
      <c r="F62" s="38"/>
      <c r="G62" s="38"/>
      <c r="H62" s="93" t="b">
        <v>1</v>
      </c>
      <c r="I62" s="205"/>
      <c r="J62" s="138"/>
      <c r="K62" s="105"/>
      <c r="L62" s="38"/>
      <c r="M62" s="42"/>
      <c r="N62" s="105"/>
      <c r="O62" s="405"/>
      <c r="P62" s="205"/>
      <c r="Q62" s="400"/>
      <c r="R62" s="401"/>
      <c r="S62" s="401"/>
      <c r="T62" s="401"/>
      <c r="U62" s="401"/>
      <c r="V62" s="402"/>
      <c r="W62" s="1"/>
    </row>
    <row r="63" ht="16.5" customHeight="1" outlineLevel="1">
      <c r="A63" s="1"/>
      <c r="B63" s="138"/>
      <c r="C63" s="105"/>
      <c r="D63" s="38"/>
      <c r="E63" s="38"/>
      <c r="F63" s="38"/>
      <c r="G63" s="38"/>
      <c r="H63" s="93" t="b">
        <v>1</v>
      </c>
      <c r="I63" s="205"/>
      <c r="J63" s="138"/>
      <c r="K63" s="105"/>
      <c r="L63" s="38"/>
      <c r="M63" s="42"/>
      <c r="N63" s="105"/>
      <c r="O63" s="405"/>
      <c r="P63" s="205"/>
      <c r="Q63" s="400"/>
      <c r="R63" s="401"/>
      <c r="S63" s="401"/>
      <c r="T63" s="401"/>
      <c r="U63" s="401"/>
      <c r="V63" s="402"/>
      <c r="W63" s="1"/>
    </row>
    <row r="64" ht="16.5" customHeight="1" outlineLevel="1">
      <c r="A64" s="1"/>
      <c r="B64" s="138"/>
      <c r="C64" s="105"/>
      <c r="D64" s="38"/>
      <c r="E64" s="38"/>
      <c r="F64" s="38"/>
      <c r="G64" s="38"/>
      <c r="H64" s="93" t="b">
        <v>1</v>
      </c>
      <c r="I64" s="205"/>
      <c r="J64" s="138"/>
      <c r="K64" s="105"/>
      <c r="L64" s="38"/>
      <c r="M64" s="42"/>
      <c r="N64" s="105"/>
      <c r="O64" s="405"/>
      <c r="P64" s="205"/>
      <c r="Q64" s="400"/>
      <c r="R64" s="401"/>
      <c r="S64" s="401"/>
      <c r="T64" s="401"/>
      <c r="U64" s="401"/>
      <c r="V64" s="402"/>
      <c r="W64" s="1"/>
    </row>
    <row r="65" ht="16.5" customHeight="1" outlineLevel="1">
      <c r="A65" s="1"/>
      <c r="B65" s="138"/>
      <c r="C65" s="105"/>
      <c r="D65" s="38"/>
      <c r="E65" s="38"/>
      <c r="F65" s="38"/>
      <c r="G65" s="38"/>
      <c r="H65" s="93" t="b">
        <v>1</v>
      </c>
      <c r="I65" s="205"/>
      <c r="J65" s="138"/>
      <c r="K65" s="105"/>
      <c r="L65" s="38"/>
      <c r="M65" s="42"/>
      <c r="N65" s="105"/>
      <c r="O65" s="405"/>
      <c r="P65" s="205"/>
      <c r="Q65" s="400"/>
      <c r="R65" s="401"/>
      <c r="S65" s="401"/>
      <c r="T65" s="401"/>
      <c r="U65" s="401"/>
      <c r="V65" s="402"/>
      <c r="W65" s="1"/>
    </row>
    <row r="66" ht="16.5" customHeight="1" outlineLevel="1">
      <c r="A66" s="1"/>
      <c r="B66" s="138"/>
      <c r="C66" s="105"/>
      <c r="D66" s="38"/>
      <c r="E66" s="38"/>
      <c r="F66" s="38"/>
      <c r="G66" s="38"/>
      <c r="H66" s="93" t="b">
        <v>1</v>
      </c>
      <c r="I66" s="205"/>
      <c r="J66" s="138"/>
      <c r="K66" s="105"/>
      <c r="L66" s="38"/>
      <c r="M66" s="42"/>
      <c r="N66" s="105"/>
      <c r="O66" s="405"/>
      <c r="P66" s="205"/>
      <c r="Q66" s="400"/>
      <c r="R66" s="401"/>
      <c r="S66" s="401"/>
      <c r="T66" s="401"/>
      <c r="U66" s="401"/>
      <c r="V66" s="402"/>
      <c r="W66" s="1"/>
    </row>
    <row r="67" ht="16.5" customHeight="1" outlineLevel="1">
      <c r="A67" s="1"/>
      <c r="B67" s="138"/>
      <c r="C67" s="105"/>
      <c r="D67" s="38"/>
      <c r="E67" s="38"/>
      <c r="F67" s="38"/>
      <c r="G67" s="38"/>
      <c r="H67" s="93" t="b">
        <v>1</v>
      </c>
      <c r="I67" s="205"/>
      <c r="J67" s="138"/>
      <c r="K67" s="105"/>
      <c r="L67" s="38"/>
      <c r="M67" s="42"/>
      <c r="N67" s="105"/>
      <c r="O67" s="405"/>
      <c r="P67" s="205"/>
      <c r="Q67" s="400"/>
      <c r="R67" s="401"/>
      <c r="S67" s="401"/>
      <c r="T67" s="401"/>
      <c r="U67" s="401"/>
      <c r="V67" s="402"/>
      <c r="W67" s="1"/>
    </row>
    <row r="68" ht="16.5" customHeight="1" outlineLevel="1">
      <c r="A68" s="1"/>
      <c r="B68" s="138"/>
      <c r="C68" s="105"/>
      <c r="D68" s="38"/>
      <c r="E68" s="38"/>
      <c r="F68" s="38"/>
      <c r="G68" s="38"/>
      <c r="H68" s="93" t="b">
        <v>1</v>
      </c>
      <c r="I68" s="205"/>
      <c r="J68" s="138"/>
      <c r="K68" s="105"/>
      <c r="L68" s="38"/>
      <c r="M68" s="42"/>
      <c r="N68" s="105"/>
      <c r="O68" s="405"/>
      <c r="P68" s="205"/>
      <c r="Q68" s="400"/>
      <c r="R68" s="401"/>
      <c r="S68" s="401"/>
      <c r="T68" s="401"/>
      <c r="U68" s="401"/>
      <c r="V68" s="402"/>
      <c r="W68" s="1"/>
    </row>
    <row r="69" ht="16.5" customHeight="1" outlineLevel="1">
      <c r="A69" s="1"/>
      <c r="B69" s="138"/>
      <c r="C69" s="105"/>
      <c r="D69" s="38"/>
      <c r="E69" s="38"/>
      <c r="F69" s="38"/>
      <c r="G69" s="38"/>
      <c r="H69" s="93" t="b">
        <v>1</v>
      </c>
      <c r="I69" s="205"/>
      <c r="J69" s="138"/>
      <c r="K69" s="105"/>
      <c r="L69" s="38"/>
      <c r="M69" s="42"/>
      <c r="N69" s="105"/>
      <c r="O69" s="405"/>
      <c r="P69" s="205"/>
      <c r="Q69" s="400"/>
      <c r="R69" s="401"/>
      <c r="S69" s="401"/>
      <c r="T69" s="401"/>
      <c r="U69" s="401"/>
      <c r="V69" s="402"/>
      <c r="W69" s="1"/>
    </row>
    <row r="70" ht="16.5" customHeight="1" outlineLevel="1">
      <c r="A70" s="1"/>
      <c r="B70" s="138"/>
      <c r="C70" s="105"/>
      <c r="D70" s="38"/>
      <c r="E70" s="38"/>
      <c r="F70" s="38"/>
      <c r="G70" s="38"/>
      <c r="H70" s="93" t="b">
        <v>1</v>
      </c>
      <c r="I70" s="205"/>
      <c r="J70" s="138"/>
      <c r="K70" s="105"/>
      <c r="L70" s="38"/>
      <c r="M70" s="42"/>
      <c r="N70" s="105"/>
      <c r="O70" s="405"/>
      <c r="P70" s="205"/>
      <c r="Q70" s="400"/>
      <c r="R70" s="401"/>
      <c r="S70" s="401"/>
      <c r="T70" s="401"/>
      <c r="U70" s="401"/>
      <c r="V70" s="402"/>
      <c r="W70" s="1"/>
    </row>
    <row r="71" ht="16.5" customHeight="1" outlineLevel="1">
      <c r="A71" s="1"/>
      <c r="B71" s="138"/>
      <c r="C71" s="105"/>
      <c r="D71" s="38"/>
      <c r="E71" s="38"/>
      <c r="F71" s="38"/>
      <c r="G71" s="38"/>
      <c r="H71" s="93" t="b">
        <v>1</v>
      </c>
      <c r="I71" s="205"/>
      <c r="J71" s="138"/>
      <c r="K71" s="105"/>
      <c r="L71" s="38"/>
      <c r="M71" s="42"/>
      <c r="N71" s="105"/>
      <c r="O71" s="405"/>
      <c r="P71" s="205"/>
      <c r="Q71" s="400"/>
      <c r="R71" s="401"/>
      <c r="S71" s="401"/>
      <c r="T71" s="401"/>
      <c r="U71" s="401"/>
      <c r="V71" s="402"/>
      <c r="W71" s="1"/>
    </row>
    <row r="72" ht="16.5" customHeight="1" outlineLevel="1">
      <c r="A72" s="1"/>
      <c r="B72" s="138"/>
      <c r="C72" s="105"/>
      <c r="D72" s="38"/>
      <c r="E72" s="38"/>
      <c r="F72" s="38"/>
      <c r="G72" s="38"/>
      <c r="H72" s="93" t="b">
        <v>1</v>
      </c>
      <c r="I72" s="205"/>
      <c r="J72" s="138"/>
      <c r="K72" s="105"/>
      <c r="L72" s="38"/>
      <c r="M72" s="42"/>
      <c r="N72" s="105"/>
      <c r="O72" s="405"/>
      <c r="P72" s="205"/>
      <c r="Q72" s="400"/>
      <c r="R72" s="401"/>
      <c r="S72" s="401"/>
      <c r="T72" s="401"/>
      <c r="U72" s="401"/>
      <c r="V72" s="402"/>
      <c r="W72" s="1"/>
    </row>
    <row r="73" ht="16.5" customHeight="1" outlineLevel="1">
      <c r="A73" s="1"/>
      <c r="B73" s="138"/>
      <c r="C73" s="105"/>
      <c r="D73" s="38"/>
      <c r="E73" s="38"/>
      <c r="F73" s="38"/>
      <c r="G73" s="38"/>
      <c r="H73" s="93" t="b">
        <v>1</v>
      </c>
      <c r="I73" s="205"/>
      <c r="J73" s="138"/>
      <c r="K73" s="105"/>
      <c r="L73" s="38"/>
      <c r="M73" s="42"/>
      <c r="N73" s="105"/>
      <c r="O73" s="405"/>
      <c r="P73" s="205"/>
      <c r="Q73" s="400"/>
      <c r="R73" s="401"/>
      <c r="S73" s="401"/>
      <c r="T73" s="401"/>
      <c r="U73" s="401"/>
      <c r="V73" s="402"/>
      <c r="W73" s="1"/>
    </row>
    <row r="74" ht="16.5" customHeight="1" outlineLevel="1">
      <c r="A74" s="1"/>
      <c r="B74" s="138"/>
      <c r="C74" s="105"/>
      <c r="D74" s="38"/>
      <c r="E74" s="38"/>
      <c r="F74" s="38"/>
      <c r="G74" s="38"/>
      <c r="H74" s="93" t="b">
        <v>1</v>
      </c>
      <c r="I74" s="205"/>
      <c r="J74" s="138"/>
      <c r="K74" s="105"/>
      <c r="L74" s="38"/>
      <c r="M74" s="42"/>
      <c r="N74" s="105"/>
      <c r="O74" s="405"/>
      <c r="P74" s="205"/>
      <c r="Q74" s="400"/>
      <c r="R74" s="401"/>
      <c r="S74" s="401"/>
      <c r="T74" s="401"/>
      <c r="U74" s="401"/>
      <c r="V74" s="402"/>
      <c r="W74" s="1"/>
    </row>
    <row r="75" ht="16.5" customHeight="1" outlineLevel="1">
      <c r="A75" s="1"/>
      <c r="B75" s="138"/>
      <c r="C75" s="105"/>
      <c r="D75" s="38"/>
      <c r="E75" s="38"/>
      <c r="F75" s="38"/>
      <c r="G75" s="38"/>
      <c r="H75" s="93" t="b">
        <v>1</v>
      </c>
      <c r="I75" s="205"/>
      <c r="J75" s="138"/>
      <c r="K75" s="105"/>
      <c r="L75" s="38"/>
      <c r="M75" s="42"/>
      <c r="N75" s="105"/>
      <c r="O75" s="405"/>
      <c r="P75" s="205"/>
      <c r="Q75" s="400"/>
      <c r="R75" s="401"/>
      <c r="S75" s="401"/>
      <c r="T75" s="401"/>
      <c r="U75" s="401"/>
      <c r="V75" s="402"/>
      <c r="W75" s="1"/>
    </row>
    <row r="76" ht="16.5" customHeight="1" outlineLevel="1">
      <c r="A76" s="1"/>
      <c r="B76" s="138"/>
      <c r="C76" s="105"/>
      <c r="D76" s="38"/>
      <c r="E76" s="38"/>
      <c r="F76" s="38"/>
      <c r="G76" s="38"/>
      <c r="H76" s="93" t="b">
        <v>1</v>
      </c>
      <c r="I76" s="205"/>
      <c r="J76" s="138"/>
      <c r="K76" s="105"/>
      <c r="L76" s="38"/>
      <c r="M76" s="42"/>
      <c r="N76" s="105"/>
      <c r="O76" s="405"/>
      <c r="P76" s="205"/>
      <c r="Q76" s="400"/>
      <c r="R76" s="401"/>
      <c r="S76" s="401"/>
      <c r="T76" s="401"/>
      <c r="U76" s="401"/>
      <c r="V76" s="402"/>
      <c r="W76" s="1"/>
    </row>
    <row r="77" ht="16.5" customHeight="1" outlineLevel="1">
      <c r="A77" s="1"/>
      <c r="B77" s="138"/>
      <c r="C77" s="105"/>
      <c r="D77" s="38"/>
      <c r="E77" s="38"/>
      <c r="F77" s="38"/>
      <c r="G77" s="38"/>
      <c r="H77" s="93" t="b">
        <v>1</v>
      </c>
      <c r="I77" s="205"/>
      <c r="J77" s="138"/>
      <c r="K77" s="105"/>
      <c r="L77" s="38"/>
      <c r="M77" s="42"/>
      <c r="N77" s="105"/>
      <c r="O77" s="405"/>
      <c r="P77" s="205"/>
      <c r="Q77" s="400"/>
      <c r="R77" s="401"/>
      <c r="S77" s="401"/>
      <c r="T77" s="401"/>
      <c r="U77" s="401"/>
      <c r="V77" s="402"/>
      <c r="W77" s="1"/>
    </row>
    <row r="78" ht="16.5" customHeight="1" outlineLevel="1">
      <c r="A78" s="1"/>
      <c r="B78" s="138"/>
      <c r="C78" s="105"/>
      <c r="D78" s="38"/>
      <c r="E78" s="38"/>
      <c r="F78" s="38"/>
      <c r="G78" s="38"/>
      <c r="H78" s="93" t="b">
        <v>1</v>
      </c>
      <c r="I78" s="205"/>
      <c r="J78" s="138"/>
      <c r="K78" s="105"/>
      <c r="L78" s="38"/>
      <c r="M78" s="42"/>
      <c r="N78" s="105"/>
      <c r="O78" s="405"/>
      <c r="P78" s="205"/>
      <c r="Q78" s="400"/>
      <c r="R78" s="401"/>
      <c r="S78" s="401"/>
      <c r="T78" s="401"/>
      <c r="U78" s="401"/>
      <c r="V78" s="402"/>
      <c r="W78" s="1"/>
    </row>
    <row r="79" ht="16.5" customHeight="1" outlineLevel="1">
      <c r="A79" s="1"/>
      <c r="B79" s="138"/>
      <c r="C79" s="105"/>
      <c r="D79" s="38"/>
      <c r="E79" s="38"/>
      <c r="F79" s="38"/>
      <c r="G79" s="38"/>
      <c r="H79" s="93" t="b">
        <v>1</v>
      </c>
      <c r="I79" s="205"/>
      <c r="J79" s="138"/>
      <c r="K79" s="105"/>
      <c r="L79" s="38"/>
      <c r="M79" s="42"/>
      <c r="N79" s="105"/>
      <c r="O79" s="405"/>
      <c r="P79" s="205"/>
      <c r="Q79" s="400"/>
      <c r="R79" s="401"/>
      <c r="S79" s="401"/>
      <c r="T79" s="401"/>
      <c r="U79" s="401"/>
      <c r="V79" s="402"/>
      <c r="W79" s="1"/>
    </row>
    <row r="80" ht="16.5" customHeight="1" outlineLevel="1">
      <c r="A80" s="1"/>
      <c r="B80" s="138"/>
      <c r="C80" s="105"/>
      <c r="D80" s="38"/>
      <c r="E80" s="38"/>
      <c r="F80" s="38"/>
      <c r="G80" s="38"/>
      <c r="H80" s="93" t="b">
        <v>1</v>
      </c>
      <c r="I80" s="205"/>
      <c r="J80" s="138"/>
      <c r="K80" s="105"/>
      <c r="L80" s="38"/>
      <c r="M80" s="42"/>
      <c r="N80" s="105"/>
      <c r="O80" s="405"/>
      <c r="P80" s="205"/>
      <c r="Q80" s="400"/>
      <c r="R80" s="401"/>
      <c r="S80" s="401"/>
      <c r="T80" s="401"/>
      <c r="U80" s="401"/>
      <c r="V80" s="402"/>
      <c r="W80" s="1"/>
    </row>
    <row r="81" ht="16.5" customHeight="1" outlineLevel="1">
      <c r="A81" s="1"/>
      <c r="B81" s="138"/>
      <c r="C81" s="105"/>
      <c r="D81" s="38"/>
      <c r="E81" s="38"/>
      <c r="F81" s="38"/>
      <c r="G81" s="38"/>
      <c r="H81" s="93" t="b">
        <v>1</v>
      </c>
      <c r="I81" s="205"/>
      <c r="J81" s="138"/>
      <c r="K81" s="105"/>
      <c r="L81" s="38"/>
      <c r="M81" s="42"/>
      <c r="N81" s="105"/>
      <c r="O81" s="405"/>
      <c r="P81" s="205"/>
      <c r="Q81" s="400"/>
      <c r="R81" s="401"/>
      <c r="S81" s="401"/>
      <c r="T81" s="401"/>
      <c r="U81" s="401"/>
      <c r="V81" s="402"/>
      <c r="W81" s="1"/>
    </row>
    <row r="82" ht="16.5" customHeight="1" outlineLevel="1">
      <c r="A82" s="1"/>
      <c r="B82" s="138"/>
      <c r="C82" s="105"/>
      <c r="D82" s="38"/>
      <c r="E82" s="38"/>
      <c r="F82" s="38"/>
      <c r="G82" s="38"/>
      <c r="H82" s="93" t="b">
        <v>1</v>
      </c>
      <c r="I82" s="205"/>
      <c r="J82" s="138"/>
      <c r="K82" s="105"/>
      <c r="L82" s="38"/>
      <c r="M82" s="42"/>
      <c r="N82" s="105"/>
      <c r="O82" s="405"/>
      <c r="P82" s="205"/>
      <c r="Q82" s="400"/>
      <c r="R82" s="401"/>
      <c r="S82" s="401"/>
      <c r="T82" s="401"/>
      <c r="U82" s="401"/>
      <c r="V82" s="402"/>
      <c r="W82" s="1"/>
    </row>
    <row r="83" ht="16.5" customHeight="1" outlineLevel="1">
      <c r="A83" s="1"/>
      <c r="B83" s="138"/>
      <c r="C83" s="105"/>
      <c r="D83" s="38"/>
      <c r="E83" s="38"/>
      <c r="F83" s="38"/>
      <c r="G83" s="38"/>
      <c r="H83" s="93" t="b">
        <v>1</v>
      </c>
      <c r="I83" s="205"/>
      <c r="J83" s="138"/>
      <c r="K83" s="105"/>
      <c r="L83" s="38"/>
      <c r="M83" s="42"/>
      <c r="N83" s="105"/>
      <c r="O83" s="405"/>
      <c r="P83" s="205"/>
      <c r="Q83" s="400"/>
      <c r="R83" s="401"/>
      <c r="S83" s="401"/>
      <c r="T83" s="401"/>
      <c r="U83" s="401"/>
      <c r="V83" s="402"/>
      <c r="W83" s="1"/>
    </row>
    <row r="84" ht="16.5" customHeight="1" outlineLevel="1">
      <c r="A84" s="1"/>
      <c r="B84" s="138"/>
      <c r="C84" s="105"/>
      <c r="D84" s="38"/>
      <c r="E84" s="38"/>
      <c r="F84" s="38"/>
      <c r="G84" s="38"/>
      <c r="H84" s="93" t="b">
        <v>1</v>
      </c>
      <c r="I84" s="205"/>
      <c r="J84" s="138"/>
      <c r="K84" s="105"/>
      <c r="L84" s="38"/>
      <c r="M84" s="42"/>
      <c r="N84" s="105"/>
      <c r="O84" s="405"/>
      <c r="P84" s="205"/>
      <c r="Q84" s="400"/>
      <c r="R84" s="401"/>
      <c r="S84" s="401"/>
      <c r="T84" s="401"/>
      <c r="U84" s="401"/>
      <c r="V84" s="402"/>
      <c r="W84" s="1"/>
    </row>
    <row r="85" ht="16.5" customHeight="1" outlineLevel="1">
      <c r="A85" s="1"/>
      <c r="B85" s="138"/>
      <c r="C85" s="105"/>
      <c r="D85" s="38"/>
      <c r="E85" s="38"/>
      <c r="F85" s="38"/>
      <c r="G85" s="38"/>
      <c r="H85" s="93" t="b">
        <v>1</v>
      </c>
      <c r="I85" s="205"/>
      <c r="J85" s="138"/>
      <c r="K85" s="105"/>
      <c r="L85" s="38"/>
      <c r="M85" s="42"/>
      <c r="N85" s="105"/>
      <c r="O85" s="405"/>
      <c r="P85" s="205"/>
      <c r="Q85" s="400"/>
      <c r="R85" s="401"/>
      <c r="S85" s="401"/>
      <c r="T85" s="401"/>
      <c r="U85" s="401"/>
      <c r="V85" s="402"/>
      <c r="W85" s="1"/>
    </row>
    <row r="86" ht="16.5" customHeight="1" outlineLevel="1">
      <c r="A86" s="1"/>
      <c r="B86" s="138"/>
      <c r="C86" s="105"/>
      <c r="D86" s="38"/>
      <c r="E86" s="38"/>
      <c r="F86" s="38"/>
      <c r="G86" s="38"/>
      <c r="H86" s="93" t="b">
        <v>1</v>
      </c>
      <c r="I86" s="205"/>
      <c r="J86" s="138"/>
      <c r="K86" s="105"/>
      <c r="L86" s="38"/>
      <c r="M86" s="42"/>
      <c r="N86" s="105"/>
      <c r="O86" s="405"/>
      <c r="P86" s="205"/>
      <c r="Q86" s="400"/>
      <c r="R86" s="401"/>
      <c r="S86" s="401"/>
      <c r="T86" s="401"/>
      <c r="U86" s="401"/>
      <c r="V86" s="402"/>
      <c r="W86" s="1"/>
    </row>
    <row r="87" ht="16.5" customHeight="1" outlineLevel="1">
      <c r="A87" s="1"/>
      <c r="B87" s="138"/>
      <c r="C87" s="105"/>
      <c r="D87" s="38"/>
      <c r="E87" s="38"/>
      <c r="F87" s="38"/>
      <c r="G87" s="38"/>
      <c r="H87" s="93" t="b">
        <v>1</v>
      </c>
      <c r="I87" s="205"/>
      <c r="J87" s="138"/>
      <c r="K87" s="105"/>
      <c r="L87" s="38"/>
      <c r="M87" s="42"/>
      <c r="N87" s="105"/>
      <c r="O87" s="405"/>
      <c r="P87" s="205"/>
      <c r="Q87" s="400"/>
      <c r="R87" s="401"/>
      <c r="S87" s="401"/>
      <c r="T87" s="401"/>
      <c r="U87" s="401"/>
      <c r="V87" s="402"/>
      <c r="W87" s="1"/>
    </row>
    <row r="88" ht="16.5" customHeight="1" outlineLevel="1">
      <c r="A88" s="1"/>
      <c r="B88" s="138"/>
      <c r="C88" s="105"/>
      <c r="D88" s="38"/>
      <c r="E88" s="38"/>
      <c r="F88" s="38"/>
      <c r="G88" s="38"/>
      <c r="H88" s="93" t="b">
        <v>1</v>
      </c>
      <c r="I88" s="205"/>
      <c r="J88" s="138"/>
      <c r="K88" s="105"/>
      <c r="L88" s="38"/>
      <c r="M88" s="42"/>
      <c r="N88" s="105"/>
      <c r="O88" s="405"/>
      <c r="P88" s="205"/>
      <c r="Q88" s="400"/>
      <c r="R88" s="401"/>
      <c r="S88" s="401"/>
      <c r="T88" s="401"/>
      <c r="U88" s="401"/>
      <c r="V88" s="402"/>
      <c r="W88" s="1"/>
    </row>
    <row r="89" ht="16.5" customHeight="1" outlineLevel="1">
      <c r="A89" s="1"/>
      <c r="B89" s="138"/>
      <c r="C89" s="105"/>
      <c r="D89" s="38"/>
      <c r="E89" s="38"/>
      <c r="F89" s="38"/>
      <c r="G89" s="38"/>
      <c r="H89" s="93" t="b">
        <v>1</v>
      </c>
      <c r="I89" s="205"/>
      <c r="J89" s="138"/>
      <c r="K89" s="105"/>
      <c r="L89" s="38"/>
      <c r="M89" s="42"/>
      <c r="N89" s="105"/>
      <c r="O89" s="405"/>
      <c r="P89" s="205"/>
      <c r="Q89" s="400"/>
      <c r="R89" s="401"/>
      <c r="S89" s="401"/>
      <c r="T89" s="401"/>
      <c r="U89" s="401"/>
      <c r="V89" s="402"/>
      <c r="W89" s="1"/>
    </row>
    <row r="90" ht="16.5" customHeight="1" outlineLevel="1">
      <c r="A90" s="1"/>
      <c r="B90" s="138"/>
      <c r="C90" s="105"/>
      <c r="D90" s="38"/>
      <c r="E90" s="38"/>
      <c r="F90" s="38"/>
      <c r="G90" s="38"/>
      <c r="H90" s="93" t="b">
        <v>1</v>
      </c>
      <c r="I90" s="205"/>
      <c r="J90" s="138"/>
      <c r="K90" s="105"/>
      <c r="L90" s="38"/>
      <c r="M90" s="42"/>
      <c r="N90" s="105"/>
      <c r="O90" s="405"/>
      <c r="P90" s="205"/>
      <c r="Q90" s="400"/>
      <c r="R90" s="401"/>
      <c r="S90" s="401"/>
      <c r="T90" s="401"/>
      <c r="U90" s="401"/>
      <c r="V90" s="402"/>
      <c r="W90" s="1"/>
    </row>
    <row r="91" ht="16.5" customHeight="1" outlineLevel="1">
      <c r="A91" s="1"/>
      <c r="B91" s="138"/>
      <c r="C91" s="105"/>
      <c r="D91" s="38"/>
      <c r="E91" s="38"/>
      <c r="F91" s="38"/>
      <c r="G91" s="38"/>
      <c r="H91" s="93" t="b">
        <v>1</v>
      </c>
      <c r="I91" s="205"/>
      <c r="J91" s="138"/>
      <c r="K91" s="105"/>
      <c r="L91" s="38"/>
      <c r="M91" s="42"/>
      <c r="N91" s="105"/>
      <c r="O91" s="405"/>
      <c r="P91" s="205"/>
      <c r="Q91" s="400"/>
      <c r="R91" s="401"/>
      <c r="S91" s="401"/>
      <c r="T91" s="401"/>
      <c r="U91" s="401"/>
      <c r="V91" s="402"/>
      <c r="W91" s="1"/>
    </row>
    <row r="92" ht="16.5" customHeight="1" outlineLevel="1">
      <c r="A92" s="1"/>
      <c r="B92" s="138"/>
      <c r="C92" s="105"/>
      <c r="D92" s="38"/>
      <c r="E92" s="38"/>
      <c r="F92" s="38"/>
      <c r="G92" s="38"/>
      <c r="H92" s="93" t="b">
        <v>1</v>
      </c>
      <c r="I92" s="205"/>
      <c r="J92" s="138"/>
      <c r="K92" s="105"/>
      <c r="L92" s="38"/>
      <c r="M92" s="42"/>
      <c r="N92" s="105"/>
      <c r="O92" s="405"/>
      <c r="P92" s="205"/>
      <c r="Q92" s="400"/>
      <c r="R92" s="401"/>
      <c r="S92" s="401"/>
      <c r="T92" s="401"/>
      <c r="U92" s="401"/>
      <c r="V92" s="402"/>
      <c r="W92" s="1"/>
    </row>
    <row r="93" ht="16.5" customHeight="1" outlineLevel="1">
      <c r="A93" s="1"/>
      <c r="B93" s="138"/>
      <c r="C93" s="105"/>
      <c r="D93" s="38"/>
      <c r="E93" s="38"/>
      <c r="F93" s="38"/>
      <c r="G93" s="38"/>
      <c r="H93" s="93" t="b">
        <v>1</v>
      </c>
      <c r="I93" s="205"/>
      <c r="J93" s="138"/>
      <c r="K93" s="105"/>
      <c r="L93" s="38"/>
      <c r="M93" s="42"/>
      <c r="N93" s="105"/>
      <c r="O93" s="405"/>
      <c r="P93" s="205"/>
      <c r="Q93" s="400"/>
      <c r="R93" s="401"/>
      <c r="S93" s="401"/>
      <c r="T93" s="401"/>
      <c r="U93" s="401"/>
      <c r="V93" s="402"/>
      <c r="W93" s="1"/>
    </row>
    <row r="94" ht="16.5" customHeight="1" outlineLevel="1">
      <c r="A94" s="1"/>
      <c r="B94" s="138"/>
      <c r="C94" s="105"/>
      <c r="D94" s="38"/>
      <c r="E94" s="38"/>
      <c r="F94" s="38"/>
      <c r="G94" s="38"/>
      <c r="H94" s="93" t="b">
        <v>1</v>
      </c>
      <c r="I94" s="205"/>
      <c r="J94" s="138"/>
      <c r="K94" s="105"/>
      <c r="L94" s="38"/>
      <c r="M94" s="42"/>
      <c r="N94" s="105"/>
      <c r="O94" s="405"/>
      <c r="P94" s="205"/>
      <c r="Q94" s="400"/>
      <c r="R94" s="401"/>
      <c r="S94" s="401"/>
      <c r="T94" s="401"/>
      <c r="U94" s="401"/>
      <c r="V94" s="402"/>
      <c r="W94" s="1"/>
    </row>
    <row r="95" ht="16.5" customHeight="1" outlineLevel="1">
      <c r="A95" s="1"/>
      <c r="B95" s="138"/>
      <c r="C95" s="105"/>
      <c r="D95" s="38"/>
      <c r="E95" s="38"/>
      <c r="F95" s="38"/>
      <c r="G95" s="38"/>
      <c r="H95" s="93" t="b">
        <v>1</v>
      </c>
      <c r="I95" s="205"/>
      <c r="J95" s="138"/>
      <c r="K95" s="105"/>
      <c r="L95" s="38"/>
      <c r="M95" s="42"/>
      <c r="N95" s="105"/>
      <c r="O95" s="405"/>
      <c r="P95" s="205"/>
      <c r="Q95" s="400"/>
      <c r="R95" s="401"/>
      <c r="S95" s="401"/>
      <c r="T95" s="401"/>
      <c r="U95" s="401"/>
      <c r="V95" s="402"/>
      <c r="W95" s="1"/>
    </row>
    <row r="96" ht="16.5" customHeight="1" outlineLevel="1">
      <c r="A96" s="1"/>
      <c r="B96" s="138"/>
      <c r="C96" s="105"/>
      <c r="D96" s="38"/>
      <c r="E96" s="38"/>
      <c r="F96" s="38"/>
      <c r="G96" s="38"/>
      <c r="H96" s="93" t="b">
        <v>1</v>
      </c>
      <c r="I96" s="205"/>
      <c r="J96" s="138"/>
      <c r="K96" s="105"/>
      <c r="L96" s="38"/>
      <c r="M96" s="42"/>
      <c r="N96" s="105"/>
      <c r="O96" s="405"/>
      <c r="P96" s="205"/>
      <c r="Q96" s="400"/>
      <c r="R96" s="401"/>
      <c r="S96" s="401"/>
      <c r="T96" s="401"/>
      <c r="U96" s="401"/>
      <c r="V96" s="402"/>
      <c r="W96" s="1"/>
    </row>
    <row r="97" ht="16.5" customHeight="1" outlineLevel="1">
      <c r="A97" s="1"/>
      <c r="B97" s="138"/>
      <c r="C97" s="105"/>
      <c r="D97" s="38"/>
      <c r="E97" s="38"/>
      <c r="F97" s="38"/>
      <c r="G97" s="38"/>
      <c r="H97" s="93" t="b">
        <v>1</v>
      </c>
      <c r="I97" s="205"/>
      <c r="J97" s="138"/>
      <c r="K97" s="105"/>
      <c r="L97" s="38"/>
      <c r="M97" s="42"/>
      <c r="N97" s="105"/>
      <c r="O97" s="405"/>
      <c r="P97" s="205"/>
      <c r="Q97" s="400"/>
      <c r="R97" s="401"/>
      <c r="S97" s="401"/>
      <c r="T97" s="401"/>
      <c r="U97" s="401"/>
      <c r="V97" s="402"/>
      <c r="W97" s="1"/>
    </row>
    <row r="98" ht="16.5" customHeight="1" outlineLevel="1">
      <c r="A98" s="1"/>
      <c r="B98" s="138"/>
      <c r="C98" s="105"/>
      <c r="D98" s="38"/>
      <c r="E98" s="38"/>
      <c r="F98" s="38"/>
      <c r="G98" s="38"/>
      <c r="H98" s="93" t="b">
        <v>1</v>
      </c>
      <c r="I98" s="205"/>
      <c r="J98" s="138"/>
      <c r="K98" s="105"/>
      <c r="L98" s="38"/>
      <c r="M98" s="42"/>
      <c r="N98" s="105"/>
      <c r="O98" s="405"/>
      <c r="P98" s="205"/>
      <c r="Q98" s="400"/>
      <c r="R98" s="401"/>
      <c r="S98" s="401"/>
      <c r="T98" s="401"/>
      <c r="U98" s="401"/>
      <c r="V98" s="402"/>
      <c r="W98" s="1"/>
    </row>
    <row r="99" ht="16.5" customHeight="1" outlineLevel="1">
      <c r="A99" s="1"/>
      <c r="B99" s="138"/>
      <c r="C99" s="105"/>
      <c r="D99" s="38"/>
      <c r="E99" s="38"/>
      <c r="F99" s="38"/>
      <c r="G99" s="38"/>
      <c r="H99" s="93" t="b">
        <v>1</v>
      </c>
      <c r="I99" s="205"/>
      <c r="J99" s="138"/>
      <c r="K99" s="105"/>
      <c r="L99" s="38"/>
      <c r="M99" s="42"/>
      <c r="N99" s="105"/>
      <c r="O99" s="405"/>
      <c r="P99" s="205"/>
      <c r="Q99" s="400"/>
      <c r="R99" s="401"/>
      <c r="S99" s="401"/>
      <c r="T99" s="401"/>
      <c r="U99" s="401"/>
      <c r="V99" s="402"/>
      <c r="W99" s="1"/>
    </row>
    <row r="100" ht="16.5" customHeight="1" outlineLevel="1">
      <c r="A100" s="1"/>
      <c r="B100" s="140"/>
      <c r="C100" s="141"/>
      <c r="D100" s="46"/>
      <c r="E100" s="46"/>
      <c r="F100" s="46"/>
      <c r="G100" s="46"/>
      <c r="H100" s="97" t="b">
        <v>1</v>
      </c>
      <c r="I100" s="205"/>
      <c r="J100" s="140"/>
      <c r="K100" s="141"/>
      <c r="L100" s="46"/>
      <c r="M100" s="49"/>
      <c r="N100" s="141"/>
      <c r="O100" s="406"/>
      <c r="P100" s="205"/>
      <c r="Q100" s="407"/>
      <c r="R100" s="408"/>
      <c r="S100" s="408"/>
      <c r="T100" s="408"/>
      <c r="U100" s="408"/>
      <c r="V100" s="409"/>
      <c r="W100" s="1"/>
    </row>
    <row r="101" ht="6.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410"/>
      <c r="R101" s="410"/>
      <c r="S101" s="410"/>
      <c r="T101" s="410"/>
      <c r="U101" s="410"/>
      <c r="V101" s="410"/>
      <c r="W101" s="1"/>
    </row>
  </sheetData>
  <mergeCells count="286">
    <mergeCell ref="K2:L2"/>
    <mergeCell ref="K3:L3"/>
    <mergeCell ref="J6:J7"/>
    <mergeCell ref="K6:L6"/>
    <mergeCell ref="K7:L7"/>
    <mergeCell ref="K8:L8"/>
    <mergeCell ref="C1:H1"/>
    <mergeCell ref="J1:O1"/>
    <mergeCell ref="Q1:V1"/>
    <mergeCell ref="B2:C2"/>
    <mergeCell ref="Q2:V2"/>
    <mergeCell ref="J3:J4"/>
    <mergeCell ref="M3:O3"/>
    <mergeCell ref="B3:C3"/>
    <mergeCell ref="B4:C4"/>
    <mergeCell ref="B5:C5"/>
    <mergeCell ref="B6:C6"/>
    <mergeCell ref="B7:C7"/>
    <mergeCell ref="B8:C8"/>
    <mergeCell ref="B9:H11"/>
    <mergeCell ref="K4:L4"/>
    <mergeCell ref="M4:O4"/>
    <mergeCell ref="M6:O6"/>
    <mergeCell ref="M7:O7"/>
    <mergeCell ref="N8:O8"/>
    <mergeCell ref="J9:O11"/>
    <mergeCell ref="M12:N12"/>
    <mergeCell ref="B19:C19"/>
    <mergeCell ref="B20:C20"/>
    <mergeCell ref="B21:C21"/>
    <mergeCell ref="J21:K21"/>
    <mergeCell ref="J22:K22"/>
    <mergeCell ref="B25:H27"/>
    <mergeCell ref="J25:O27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8:N28"/>
    <mergeCell ref="M29:N29"/>
    <mergeCell ref="J66:K66"/>
    <mergeCell ref="J67:K67"/>
    <mergeCell ref="J68:K68"/>
    <mergeCell ref="J69:K69"/>
    <mergeCell ref="J70:K70"/>
    <mergeCell ref="J71:K71"/>
    <mergeCell ref="J72:K72"/>
    <mergeCell ref="J73:K73"/>
    <mergeCell ref="J74:K74"/>
    <mergeCell ref="J75:K75"/>
    <mergeCell ref="J76:K76"/>
    <mergeCell ref="J77:K77"/>
    <mergeCell ref="J78:K78"/>
    <mergeCell ref="J79:K79"/>
    <mergeCell ref="J80:K80"/>
    <mergeCell ref="J81:K81"/>
    <mergeCell ref="J82:K82"/>
    <mergeCell ref="J83:K83"/>
    <mergeCell ref="J84:K84"/>
    <mergeCell ref="J85:K85"/>
    <mergeCell ref="J86:K86"/>
    <mergeCell ref="J94:K94"/>
    <mergeCell ref="J95:K95"/>
    <mergeCell ref="J96:K96"/>
    <mergeCell ref="J97:K97"/>
    <mergeCell ref="J98:K98"/>
    <mergeCell ref="J99:K99"/>
    <mergeCell ref="J100:K100"/>
    <mergeCell ref="J87:K87"/>
    <mergeCell ref="J88:K88"/>
    <mergeCell ref="J89:K89"/>
    <mergeCell ref="J90:K90"/>
    <mergeCell ref="J91:K91"/>
    <mergeCell ref="J92:K92"/>
    <mergeCell ref="J93:K93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3:K23"/>
    <mergeCell ref="J24:K24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65:K65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95:C95"/>
    <mergeCell ref="B96:C96"/>
    <mergeCell ref="B97:C97"/>
    <mergeCell ref="B98:C98"/>
    <mergeCell ref="B99:C99"/>
    <mergeCell ref="B100:C100"/>
    <mergeCell ref="B88:C88"/>
    <mergeCell ref="B89:C89"/>
    <mergeCell ref="B90:C90"/>
    <mergeCell ref="B91:C91"/>
    <mergeCell ref="B92:C92"/>
    <mergeCell ref="B93:C93"/>
    <mergeCell ref="B94:C94"/>
    <mergeCell ref="B12:C12"/>
    <mergeCell ref="B13:C13"/>
    <mergeCell ref="B14:C14"/>
    <mergeCell ref="B15:C15"/>
    <mergeCell ref="B16:C16"/>
    <mergeCell ref="B17:C17"/>
    <mergeCell ref="B18:C18"/>
    <mergeCell ref="B22:C22"/>
    <mergeCell ref="B23:C23"/>
    <mergeCell ref="B24:C24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M79:N79"/>
    <mergeCell ref="M80:N80"/>
    <mergeCell ref="M81:N81"/>
    <mergeCell ref="M82:N82"/>
    <mergeCell ref="M83:N83"/>
    <mergeCell ref="M84:N84"/>
    <mergeCell ref="M85:N85"/>
    <mergeCell ref="M93:N93"/>
    <mergeCell ref="M94:N94"/>
    <mergeCell ref="M95:N95"/>
    <mergeCell ref="M96:N96"/>
    <mergeCell ref="M97:N97"/>
    <mergeCell ref="M98:N98"/>
    <mergeCell ref="M99:N99"/>
    <mergeCell ref="M100:N100"/>
    <mergeCell ref="M86:N86"/>
    <mergeCell ref="M87:N87"/>
    <mergeCell ref="M88:N88"/>
    <mergeCell ref="M89:N89"/>
    <mergeCell ref="M90:N90"/>
    <mergeCell ref="M91:N91"/>
    <mergeCell ref="M92:N92"/>
    <mergeCell ref="M30:N30"/>
    <mergeCell ref="M31:N31"/>
    <mergeCell ref="M32:N32"/>
    <mergeCell ref="M33:N33"/>
    <mergeCell ref="M34:N34"/>
    <mergeCell ref="M35:N35"/>
    <mergeCell ref="M36:N36"/>
    <mergeCell ref="M37:N37"/>
    <mergeCell ref="M38:N38"/>
    <mergeCell ref="M39:N39"/>
    <mergeCell ref="M40:N40"/>
    <mergeCell ref="M41:N41"/>
    <mergeCell ref="M42:N42"/>
    <mergeCell ref="M43:N43"/>
    <mergeCell ref="M44:N44"/>
    <mergeCell ref="M45:N45"/>
    <mergeCell ref="M46:N46"/>
    <mergeCell ref="M47:N47"/>
    <mergeCell ref="M48:N48"/>
    <mergeCell ref="M49:N49"/>
    <mergeCell ref="M50:N50"/>
    <mergeCell ref="M51:N51"/>
    <mergeCell ref="M52:N52"/>
    <mergeCell ref="M53:N53"/>
    <mergeCell ref="M54:N54"/>
    <mergeCell ref="M55:N55"/>
    <mergeCell ref="M56:N56"/>
    <mergeCell ref="M57:N57"/>
    <mergeCell ref="M58:N58"/>
    <mergeCell ref="M59:N59"/>
    <mergeCell ref="M60:N60"/>
    <mergeCell ref="M61:N61"/>
    <mergeCell ref="M62:N62"/>
    <mergeCell ref="M63:N63"/>
    <mergeCell ref="M64:N64"/>
    <mergeCell ref="M65:N65"/>
    <mergeCell ref="M66:N66"/>
    <mergeCell ref="M67:N67"/>
    <mergeCell ref="M68:N68"/>
    <mergeCell ref="M69:N69"/>
    <mergeCell ref="M70:N70"/>
    <mergeCell ref="M71:N71"/>
    <mergeCell ref="M72:N72"/>
    <mergeCell ref="M73:N73"/>
    <mergeCell ref="M74:N74"/>
    <mergeCell ref="M75:N75"/>
    <mergeCell ref="M76:N76"/>
    <mergeCell ref="M77:N77"/>
    <mergeCell ref="M78:N78"/>
  </mergeCells>
  <conditionalFormatting sqref="H3:H8 H13:H24 H29:H100">
    <cfRule type="cellIs" dxfId="10" priority="1" operator="equal">
      <formula>"TRUE"</formula>
    </cfRule>
  </conditionalFormatting>
  <conditionalFormatting sqref="H3:H8 H13:H24 H29:H100">
    <cfRule type="cellIs" dxfId="18" priority="2" operator="equal">
      <formula>"FALSE"</formula>
    </cfRule>
  </conditionalFormatting>
  <dataValidations>
    <dataValidation type="list" allowBlank="1" sqref="E13:E24">
      <formula1>"Ally,Contact,Rival,Enemy"</formula1>
    </dataValidation>
  </dataValidations>
  <drawing r:id="rId1"/>
</worksheet>
</file>